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620" windowWidth="15240" windowHeight="8376" activeTab="0"/>
  </bookViews>
  <sheets>
    <sheet name="Championship Points" sheetId="1" r:id="rId1"/>
    <sheet name="Rd1 Broadford" sheetId="2" r:id="rId2"/>
    <sheet name="Rd2 Winton" sheetId="3" r:id="rId3"/>
    <sheet name="Rd3 Winton" sheetId="4" r:id="rId4"/>
    <sheet name="Championship Scoring" sheetId="5" r:id="rId5"/>
  </sheets>
  <externalReferences>
    <externalReference r:id="rId8"/>
  </externalReferences>
  <definedNames>
    <definedName name="_xlfn.IFERROR" hidden="1">#NAME?</definedName>
    <definedName name="BenchmarksRd1">'[1]Rd1 Broadford'!$AE$2:$AG$12</definedName>
    <definedName name="BenchmarksRd2" localSheetId="1">'[1]Rd2 Winton'!$AF$2:$AI$12</definedName>
    <definedName name="BenchmarksRd2" localSheetId="3">'[1]Rd2 Winton'!$AF$2:$AI$12</definedName>
    <definedName name="BenchmarksRd2">'Rd2 Winton'!$AF$2:$AI$12</definedName>
    <definedName name="BenchmarksRd3">'[1]Rd3 Winton'!$AE$2:$AG$12</definedName>
    <definedName name="BenchmarksRd4">'[1]Rd4 Sandown'!$AE$2:$AG$12</definedName>
    <definedName name="BenchmarksRd5">'[1]Rd5 Sandown'!$AE$2:$AG$12</definedName>
    <definedName name="Class">'[1]Championship Scoring'!$A$7:$D$18</definedName>
    <definedName name="Points">'[1]Championship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<sst xmlns="http://schemas.openxmlformats.org/spreadsheetml/2006/main" count="542" uniqueCount="216">
  <si>
    <t>Place</t>
  </si>
  <si>
    <t>Driver</t>
  </si>
  <si>
    <t>Class</t>
  </si>
  <si>
    <t>SNA</t>
  </si>
  <si>
    <t>SNC</t>
  </si>
  <si>
    <t>SNB</t>
  </si>
  <si>
    <t>CLASS CHAMPIONSHIPS</t>
  </si>
  <si>
    <t>Standard NA</t>
  </si>
  <si>
    <t>Standard NB</t>
  </si>
  <si>
    <t>Standard NC</t>
  </si>
  <si>
    <t>Open</t>
  </si>
  <si>
    <t>Restricted Open</t>
  </si>
  <si>
    <t>Overall Points</t>
  </si>
  <si>
    <t>RES</t>
  </si>
  <si>
    <t>OPN</t>
  </si>
  <si>
    <t>Order of Classes</t>
  </si>
  <si>
    <t>·</t>
  </si>
  <si>
    <t>Standard NA and Standard NB (equal)</t>
  </si>
  <si>
    <t>1st in class</t>
  </si>
  <si>
    <t xml:space="preserve">2nd </t>
  </si>
  <si>
    <t>3rd</t>
  </si>
  <si>
    <t>4th</t>
  </si>
  <si>
    <t>5th</t>
  </si>
  <si>
    <t>Award of points for each event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</si>
  <si>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</si>
  <si>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</si>
  <si>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</si>
  <si>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</si>
  <si>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</si>
  <si>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</si>
  <si>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</si>
  <si>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</si>
  <si>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</si>
  <si>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</si>
  <si>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</si>
  <si>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</si>
  <si>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</si>
  <si>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</si>
  <si>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</si>
  <si>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</si>
  <si>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</si>
  <si>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</si>
  <si>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</si>
  <si>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</si>
  <si>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</si>
  <si>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</si>
  <si>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</si>
  <si>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</si>
  <si>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</si>
  <si>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</si>
  <si>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6th and higher</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</si>
  <si>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</si>
  <si>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</si>
  <si>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</si>
  <si>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</si>
  <si>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</si>
  <si>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</si>
  <si>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</si>
  <si>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</si>
  <si>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</si>
  <si>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</si>
  <si>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</si>
  <si>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 xml:space="preserve">Overall points are based on points scored within a class, including cross-class adjustments (so that drivers will always receive less overall points than a driver with a faster time from a slower class.) and Benchmark Time adjustments (+/- pts for relativity to Benchmark Time) </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</si>
  <si>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</si>
  <si>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</si>
  <si>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</si>
  <si>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</si>
  <si>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</si>
  <si>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</si>
  <si>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</si>
  <si>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</si>
  <si>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</si>
  <si>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</si>
  <si>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</si>
  <si>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</si>
  <si>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</si>
  <si>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</si>
  <si>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</si>
  <si>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</si>
  <si>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NA/NB Modified and NC/ND Modified (equal)</t>
  </si>
  <si>
    <t>NA Clubman and NB Clubman (equal)</t>
  </si>
  <si>
    <t>Standard NC and Standard ND (equal)</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</si>
  <si>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</si>
  <si>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</si>
  <si>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</si>
  <si>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</si>
  <si>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</si>
  <si>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</si>
  <si>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</si>
  <si>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</si>
  <si>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</si>
  <si>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</si>
  <si>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</si>
  <si>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</si>
  <si>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</si>
  <si>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</si>
  <si>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</si>
  <si>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</si>
  <si>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</si>
  <si>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</si>
  <si>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</si>
  <si>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</si>
  <si>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</si>
  <si>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</si>
  <si>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</si>
  <si>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</si>
  <si>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</si>
  <si>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</si>
  <si>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</si>
  <si>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</si>
  <si>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</si>
  <si>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</si>
  <si>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</si>
  <si>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</si>
  <si>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</si>
  <si>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</si>
  <si>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</si>
  <si>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</si>
  <si>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</si>
  <si>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</si>
  <si>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</si>
  <si>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</si>
  <si>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</si>
  <si>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</si>
  <si>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</si>
  <si>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</si>
  <si>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</si>
  <si>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</si>
  <si>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</si>
  <si>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</si>
  <si>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</si>
  <si>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</si>
  <si>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</si>
  <si>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</si>
  <si>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</si>
  <si>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</si>
  <si>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</si>
  <si>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</si>
  <si>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</si>
  <si>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</si>
  <si>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</si>
  <si>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</si>
  <si>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</si>
  <si>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</si>
  <si>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</si>
  <si>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</si>
  <si>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</si>
  <si>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</si>
  <si>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</si>
  <si>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</si>
  <si>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</si>
  <si>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</si>
  <si>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</si>
  <si>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</si>
  <si>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</si>
  <si>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</si>
  <si>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</si>
  <si>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</si>
  <si>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</si>
  <si>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</si>
  <si>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</si>
  <si>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</si>
  <si>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</si>
  <si>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</si>
  <si>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</si>
  <si>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</si>
  <si>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</si>
  <si>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</si>
  <si>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</si>
  <si>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</si>
  <si>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</si>
  <si>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</si>
  <si>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</si>
  <si>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</si>
  <si>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</si>
  <si>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</si>
  <si>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</si>
  <si>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</si>
  <si>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</si>
  <si>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</si>
  <si>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</si>
  <si>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</si>
  <si>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</si>
  <si>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</si>
  <si>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</si>
  <si>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</si>
  <si>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</si>
  <si>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</si>
  <si>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</si>
  <si>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</si>
  <si>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</si>
  <si>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</si>
  <si>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</si>
  <si>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</si>
  <si>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</si>
  <si>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</si>
  <si>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</si>
  <si>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Rank</t>
  </si>
  <si>
    <t>Posn</t>
  </si>
  <si>
    <t>No of
Adj's</t>
  </si>
  <si>
    <t>After Adjustment</t>
  </si>
  <si>
    <t>Overall Pts</t>
  </si>
  <si>
    <t>Benchmark Times prior to event</t>
  </si>
  <si>
    <t>Ibrahim RAFEI</t>
  </si>
  <si>
    <t>Allison RAFEI</t>
  </si>
  <si>
    <t>Xclass
Adjust</t>
  </si>
  <si>
    <t>Dean Hasnat</t>
  </si>
  <si>
    <t>Tim Emery</t>
  </si>
  <si>
    <t>Leon Bogers</t>
  </si>
  <si>
    <t>Russell Garner</t>
  </si>
  <si>
    <t>Paul Ledwith</t>
  </si>
  <si>
    <t>David Wilken</t>
  </si>
  <si>
    <t>RAFEI</t>
  </si>
  <si>
    <t>Peter Dannock</t>
  </si>
  <si>
    <t>Robert Hart</t>
  </si>
  <si>
    <t>Brendan Beavis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</si>
</sst>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rgb="FFFFFF99"/>
        <bgColor indexed="64"/>
      </patternFill>
    </fill>
    <fill>
      <patternFill patternType="solid">
        <fgColor indexed="51"/>
        <bgColor indexed="64"/>
      </patternFill>
    </fill>
    <fill>
      <patternFill patternType="solid">
        <fgColor indexed="22"/>
        <bgColor indexed="64"/>
      </patternFill>
    </fill>
    <fill>
      <patternFill patternType="solid">
        <fgColor theme="7"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style="medium"/>
      <bottom style="medium"/>
    </border>
    <border>
      <left/>
      <right/>
      <top style="medium"/>
      <bottom style="medium"/>
    </border>
    <border>
      <left>
        <color indexed="63"/>
      </left>
      <right style="medium"/>
      <top style="medium"/>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0">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ill="1" applyAlignment="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1" xfId="0" applyNumberFormat="1" applyFont="1" applyFill="1" applyBorder="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5" borderId="11"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2" borderId="11"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3" borderId="11"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4" borderId="11"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11" borderId="11"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36" borderId="11"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0" fillId="32" borderId="0" xfId="0" applyFont="1" applyFill="1" applyBorder="1" applyAlignment="1">
      <alignment/>
    </xf>
    <xf numFmtId="0" fontId="0" fillId="32" borderId="14" xfId="0" applyFill="1" applyBorder="1" applyAlignment="1">
      <alignment horizontal="center"/>
    </xf>
    <xf numFmtId="0" fontId="0" fillId="35" borderId="15" xfId="0" applyFill="1" applyBorder="1" applyAlignment="1">
      <alignment horizontal="center"/>
    </xf>
    <xf numFmtId="0" fontId="0" fillId="35" borderId="14" xfId="0" applyFill="1" applyBorder="1"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0" fontId="0" fillId="11" borderId="14"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quotePrefix="1">
      <alignment vertical="top"/>
    </xf>
    <xf numFmtId="0" fontId="0" fillId="0" borderId="0" xfId="0" applyFont="1" applyAlignment="1">
      <alignment/>
    </xf>
    <xf numFmtId="0" fontId="10" fillId="0" borderId="16" xfId="0" applyFont="1" applyBorder="1" applyAlignment="1">
      <alignment vertical="center" wrapText="1"/>
    </xf>
    <xf numFmtId="0" fontId="10" fillId="0" borderId="17" xfId="0" applyFont="1" applyBorder="1" applyAlignment="1">
      <alignment vertical="center" wrapText="1"/>
    </xf>
    <xf numFmtId="0" fontId="0" fillId="0" borderId="0" xfId="0" applyFont="1" applyAlignment="1">
      <alignment vertical="top"/>
    </xf>
    <xf numFmtId="0" fontId="11" fillId="0" borderId="0" xfId="0" applyFont="1" applyAlignment="1">
      <alignment vertical="center"/>
    </xf>
    <xf numFmtId="0" fontId="0" fillId="0" borderId="0" xfId="0" applyFont="1" applyAlignment="1">
      <alignment horizontal="left" vertical="top" wrapText="1"/>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1"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2"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3" xfId="0" applyNumberFormat="1" applyFont="1" applyFill="1" applyBorder="1" applyAlignment="1">
      <alignment horizontal="center"/>
    </xf>
    <xf numFmtId="0" fontId="0" fillId="39" borderId="0" xfId="0" applyFill="1" applyAlignment="1">
      <alignment/>
    </xf>
    <xf numFmtId="0" fontId="5" fillId="39" borderId="11"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2"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3" xfId="0" applyNumberFormat="1" applyFont="1" applyFill="1" applyBorder="1" applyAlignment="1">
      <alignment horizontal="center"/>
    </xf>
    <xf numFmtId="0" fontId="0" fillId="13" borderId="0" xfId="0" applyFill="1" applyAlignment="1">
      <alignment/>
    </xf>
    <xf numFmtId="0" fontId="5" fillId="13" borderId="11"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2"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3" xfId="0" applyNumberFormat="1" applyFont="1"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1" xfId="0" applyFont="1" applyFill="1" applyBorder="1" applyAlignment="1" quotePrefix="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0" fillId="35" borderId="18" xfId="0" applyFill="1" applyBorder="1" applyAlignment="1">
      <alignment horizontal="center"/>
    </xf>
    <xf numFmtId="0" fontId="0" fillId="35" borderId="10" xfId="0" applyFill="1" applyBorder="1" applyAlignment="1">
      <alignment horizontal="center"/>
    </xf>
    <xf numFmtId="0" fontId="0" fillId="35" borderId="19" xfId="0" applyFill="1" applyBorder="1" applyAlignment="1">
      <alignment horizontal="center"/>
    </xf>
    <xf numFmtId="0" fontId="0" fillId="35" borderId="10" xfId="0" applyFont="1" applyFill="1" applyBorder="1" applyAlignment="1">
      <alignment horizontal="center"/>
    </xf>
    <xf numFmtId="0" fontId="0" fillId="41" borderId="0" xfId="0" applyFont="1" applyFill="1" applyBorder="1" applyAlignment="1">
      <alignment horizontal="center"/>
    </xf>
    <xf numFmtId="0" fontId="0" fillId="41" borderId="0" xfId="0" applyFill="1" applyBorder="1" applyAlignment="1">
      <alignment horizontal="center"/>
    </xf>
    <xf numFmtId="0" fontId="0" fillId="36" borderId="15" xfId="0" applyFill="1" applyBorder="1" applyAlignment="1">
      <alignment horizontal="center"/>
    </xf>
    <xf numFmtId="0" fontId="0" fillId="36" borderId="14" xfId="0" applyFill="1" applyBorder="1" applyAlignment="1">
      <alignment horizontal="center"/>
    </xf>
    <xf numFmtId="0" fontId="0" fillId="36" borderId="0" xfId="0" applyFont="1" applyFill="1" applyBorder="1" applyAlignment="1">
      <alignment/>
    </xf>
    <xf numFmtId="0" fontId="0" fillId="41" borderId="0" xfId="0" applyFont="1" applyFill="1" applyBorder="1" applyAlignment="1">
      <alignment/>
    </xf>
    <xf numFmtId="179" fontId="0" fillId="41" borderId="0" xfId="0" applyNumberFormat="1" applyFill="1" applyBorder="1" applyAlignment="1">
      <alignment/>
    </xf>
    <xf numFmtId="0" fontId="5" fillId="41" borderId="0" xfId="0" applyFont="1" applyFill="1" applyBorder="1" applyAlignment="1" quotePrefix="1">
      <alignment horizontal="center"/>
    </xf>
    <xf numFmtId="0" fontId="0" fillId="41" borderId="0" xfId="0" applyFont="1" applyFill="1" applyAlignment="1">
      <alignment horizontal="center"/>
    </xf>
    <xf numFmtId="0" fontId="5" fillId="41" borderId="11" xfId="0" applyNumberFormat="1" applyFont="1" applyFill="1" applyBorder="1" applyAlignment="1">
      <alignment horizontal="center"/>
    </xf>
    <xf numFmtId="0" fontId="0" fillId="41" borderId="0" xfId="0" applyFill="1" applyAlignment="1">
      <alignment horizontal="center"/>
    </xf>
    <xf numFmtId="0" fontId="5" fillId="41" borderId="12" xfId="0" applyNumberFormat="1" applyFont="1" applyFill="1" applyBorder="1" applyAlignment="1">
      <alignment horizontal="center"/>
    </xf>
    <xf numFmtId="0" fontId="0" fillId="41" borderId="0" xfId="0" applyFill="1" applyBorder="1" applyAlignment="1">
      <alignment/>
    </xf>
    <xf numFmtId="0" fontId="5" fillId="41" borderId="0" xfId="0" applyFont="1" applyFill="1" applyBorder="1" applyAlignment="1">
      <alignment horizontal="center"/>
    </xf>
    <xf numFmtId="0" fontId="5" fillId="41" borderId="13" xfId="0" applyNumberFormat="1" applyFont="1" applyFill="1" applyBorder="1" applyAlignment="1">
      <alignment horizontal="center"/>
    </xf>
    <xf numFmtId="0" fontId="6" fillId="41" borderId="0" xfId="0" applyFont="1" applyFill="1" applyBorder="1" applyAlignment="1">
      <alignment/>
    </xf>
    <xf numFmtId="0" fontId="0" fillId="36" borderId="14" xfId="0" applyFont="1" applyFill="1" applyBorder="1" applyAlignment="1">
      <alignment/>
    </xf>
    <xf numFmtId="0" fontId="0" fillId="11" borderId="14" xfId="0" applyFont="1" applyFill="1" applyBorder="1" applyAlignment="1">
      <alignment/>
    </xf>
    <xf numFmtId="0" fontId="0" fillId="35" borderId="14" xfId="0"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horizontal="center"/>
    </xf>
    <xf numFmtId="0" fontId="0" fillId="42" borderId="0" xfId="0" applyFill="1" applyBorder="1" applyAlignment="1">
      <alignment horizontal="center"/>
    </xf>
    <xf numFmtId="0" fontId="0" fillId="42" borderId="14" xfId="0" applyFill="1" applyBorder="1" applyAlignment="1">
      <alignment horizontal="center"/>
    </xf>
    <xf numFmtId="0" fontId="0" fillId="33" borderId="14" xfId="0" applyFill="1" applyBorder="1" applyAlignment="1">
      <alignment horizontal="center"/>
    </xf>
    <xf numFmtId="0" fontId="0" fillId="39" borderId="14" xfId="0" applyFill="1" applyBorder="1" applyAlignment="1">
      <alignment horizontal="center"/>
    </xf>
    <xf numFmtId="0" fontId="0" fillId="42" borderId="0" xfId="0" applyFont="1" applyFill="1" applyBorder="1" applyAlignment="1">
      <alignment/>
    </xf>
    <xf numFmtId="0" fontId="0" fillId="39" borderId="0" xfId="0" applyFont="1" applyFill="1" applyBorder="1" applyAlignment="1">
      <alignment/>
    </xf>
    <xf numFmtId="0" fontId="5" fillId="40" borderId="20"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8"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41" borderId="15" xfId="0" applyFont="1" applyFill="1" applyBorder="1" applyAlignment="1">
      <alignment horizontal="center"/>
    </xf>
    <xf numFmtId="0" fontId="0" fillId="11" borderId="15" xfId="0" applyFont="1" applyFill="1" applyBorder="1" applyAlignment="1">
      <alignment horizontal="center"/>
    </xf>
    <xf numFmtId="0" fontId="0" fillId="39" borderId="14"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4"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1" xfId="0" applyFont="1" applyFill="1" applyBorder="1" applyAlignment="1">
      <alignment/>
    </xf>
    <xf numFmtId="0" fontId="0" fillId="34" borderId="22" xfId="0" applyFont="1" applyFill="1" applyBorder="1" applyAlignment="1">
      <alignment/>
    </xf>
    <xf numFmtId="0" fontId="0" fillId="34" borderId="20" xfId="0"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21" xfId="0" applyFill="1" applyBorder="1" applyAlignment="1">
      <alignment horizontal="center"/>
    </xf>
    <xf numFmtId="0" fontId="0" fillId="34" borderId="22" xfId="0" applyFill="1" applyBorder="1" applyAlignment="1">
      <alignment horizontal="center"/>
    </xf>
    <xf numFmtId="0" fontId="0" fillId="42" borderId="15" xfId="0" applyFill="1" applyBorder="1" applyAlignment="1">
      <alignment horizontal="center"/>
    </xf>
    <xf numFmtId="0" fontId="0" fillId="38" borderId="0" xfId="0" applyFont="1" applyFill="1" applyBorder="1" applyAlignment="1">
      <alignment/>
    </xf>
    <xf numFmtId="0" fontId="0" fillId="38" borderId="14" xfId="0" applyFont="1" applyFill="1" applyBorder="1" applyAlignment="1">
      <alignment/>
    </xf>
    <xf numFmtId="0" fontId="0" fillId="38" borderId="15" xfId="0" applyFont="1" applyFill="1" applyBorder="1" applyAlignment="1">
      <alignment horizontal="center"/>
    </xf>
    <xf numFmtId="0" fontId="0" fillId="38" borderId="14" xfId="0" applyFill="1" applyBorder="1" applyAlignment="1">
      <alignment horizontal="center"/>
    </xf>
    <xf numFmtId="0" fontId="4" fillId="43" borderId="0" xfId="0" applyFont="1" applyFill="1" applyBorder="1" applyAlignment="1">
      <alignment horizontal="center"/>
    </xf>
    <xf numFmtId="0" fontId="5" fillId="44" borderId="23" xfId="57" applyFont="1" applyFill="1" applyBorder="1" applyAlignment="1">
      <alignment horizontal="center" vertical="center" wrapText="1"/>
      <protection/>
    </xf>
    <xf numFmtId="0" fontId="5" fillId="44" borderId="24" xfId="57" applyFont="1" applyFill="1" applyBorder="1" applyAlignment="1">
      <alignment horizontal="center" vertical="center"/>
      <protection/>
    </xf>
    <xf numFmtId="179" fontId="5" fillId="44" borderId="24" xfId="57" applyNumberFormat="1" applyFont="1" applyFill="1" applyBorder="1" applyAlignment="1">
      <alignment horizontal="center" vertical="center" wrapText="1"/>
      <protection/>
    </xf>
    <xf numFmtId="0" fontId="5" fillId="44" borderId="24" xfId="57" applyFont="1" applyFill="1" applyBorder="1" applyAlignment="1">
      <alignment horizontal="center" vertical="center" wrapText="1"/>
      <protection/>
    </xf>
    <xf numFmtId="0" fontId="5" fillId="36" borderId="24" xfId="57" applyFont="1" applyFill="1" applyBorder="1" applyAlignment="1">
      <alignment horizontal="center" vertical="center"/>
      <protection/>
    </xf>
    <xf numFmtId="0" fontId="5" fillId="11" borderId="24" xfId="57" applyFont="1" applyFill="1" applyBorder="1" applyAlignment="1">
      <alignment horizontal="center" vertical="center"/>
      <protection/>
    </xf>
    <xf numFmtId="0" fontId="5" fillId="38" borderId="24" xfId="57" applyFont="1" applyFill="1" applyBorder="1" applyAlignment="1">
      <alignment horizontal="center" vertical="center"/>
      <protection/>
    </xf>
    <xf numFmtId="0" fontId="5" fillId="34" borderId="24" xfId="57" applyFont="1" applyFill="1" applyBorder="1" applyAlignment="1">
      <alignment horizontal="center" vertical="center"/>
      <protection/>
    </xf>
    <xf numFmtId="0" fontId="5" fillId="33" borderId="24" xfId="57" applyFont="1" applyFill="1" applyBorder="1" applyAlignment="1">
      <alignment horizontal="center" vertical="center"/>
      <protection/>
    </xf>
    <xf numFmtId="0" fontId="5" fillId="32" borderId="24" xfId="57" applyFont="1" applyFill="1" applyBorder="1" applyAlignment="1">
      <alignment horizontal="center" vertical="center"/>
      <protection/>
    </xf>
    <xf numFmtId="0" fontId="5" fillId="42" borderId="24" xfId="57" applyFont="1" applyFill="1" applyBorder="1" applyAlignment="1">
      <alignment horizontal="center" vertical="center"/>
      <protection/>
    </xf>
    <xf numFmtId="0" fontId="5" fillId="39" borderId="24" xfId="57" applyFont="1" applyFill="1" applyBorder="1" applyAlignment="1">
      <alignment horizontal="center" vertical="center"/>
      <protection/>
    </xf>
    <xf numFmtId="0" fontId="5" fillId="13" borderId="24" xfId="57" applyFont="1" applyFill="1" applyBorder="1" applyAlignment="1">
      <alignment horizontal="center" vertical="center"/>
      <protection/>
    </xf>
    <xf numFmtId="0" fontId="5" fillId="35" borderId="24" xfId="57" applyFont="1" applyFill="1" applyBorder="1" applyAlignment="1">
      <alignment horizontal="center" vertical="center"/>
      <protection/>
    </xf>
    <xf numFmtId="0" fontId="5" fillId="37" borderId="25" xfId="57" applyFont="1" applyFill="1" applyBorder="1" applyAlignment="1">
      <alignment horizontal="center" vertical="center"/>
      <protection/>
    </xf>
    <xf numFmtId="0" fontId="5" fillId="0" borderId="21" xfId="57" applyFont="1" applyFill="1" applyBorder="1" applyAlignment="1">
      <alignment horizontal="center" vertical="center" wrapText="1"/>
      <protection/>
    </xf>
    <xf numFmtId="2" fontId="5" fillId="0" borderId="22" xfId="57" applyNumberFormat="1" applyFont="1" applyBorder="1" applyAlignment="1">
      <alignment horizontal="center" vertical="center" wrapText="1"/>
      <protection/>
    </xf>
    <xf numFmtId="0" fontId="5" fillId="6" borderId="23" xfId="57" applyFont="1" applyFill="1" applyBorder="1" applyAlignment="1">
      <alignment horizontal="center" vertical="center" wrapText="1"/>
      <protection/>
    </xf>
    <xf numFmtId="0" fontId="5" fillId="6" borderId="24" xfId="57" applyFont="1" applyFill="1" applyBorder="1" applyAlignment="1">
      <alignment horizontal="center" vertical="center" wrapText="1"/>
      <protection/>
    </xf>
    <xf numFmtId="0" fontId="5" fillId="6" borderId="25" xfId="57" applyFont="1" applyFill="1" applyBorder="1" applyAlignment="1">
      <alignment horizontal="center" vertical="center" wrapText="1"/>
      <protection/>
    </xf>
    <xf numFmtId="0" fontId="5" fillId="45" borderId="24" xfId="57" applyFont="1" applyFill="1" applyBorder="1" applyAlignment="1">
      <alignment horizontal="center" vertical="center" wrapText="1"/>
      <protection/>
    </xf>
    <xf numFmtId="0" fontId="5" fillId="34" borderId="26" xfId="57" applyFont="1" applyFill="1" applyBorder="1" applyAlignment="1">
      <alignment horizontal="center" vertical="center" wrapText="1"/>
      <protection/>
    </xf>
    <xf numFmtId="0" fontId="0" fillId="0" borderId="0" xfId="57" applyAlignment="1">
      <alignment horizontal="center" vertical="center"/>
      <protection/>
    </xf>
    <xf numFmtId="0" fontId="5" fillId="0" borderId="15" xfId="57" applyFont="1" applyBorder="1" applyAlignment="1">
      <alignment horizontal="center" vertical="center"/>
      <protection/>
    </xf>
    <xf numFmtId="0" fontId="5" fillId="0" borderId="0" xfId="57" applyFont="1" applyBorder="1" applyAlignment="1">
      <alignment horizontal="center" vertical="center"/>
      <protection/>
    </xf>
    <xf numFmtId="0" fontId="0" fillId="36" borderId="20" xfId="57" applyFill="1" applyBorder="1" applyAlignment="1">
      <alignment horizontal="center"/>
      <protection/>
    </xf>
    <xf numFmtId="0" fontId="0" fillId="36" borderId="21" xfId="57" applyFont="1" applyFill="1" applyBorder="1">
      <alignment/>
      <protection/>
    </xf>
    <xf numFmtId="0" fontId="0" fillId="36" borderId="21" xfId="57" applyFill="1" applyBorder="1" applyAlignment="1">
      <alignment horizontal="center"/>
      <protection/>
    </xf>
    <xf numFmtId="179" fontId="0" fillId="36" borderId="21" xfId="57" applyNumberFormat="1" applyFill="1" applyBorder="1" applyAlignment="1">
      <alignment horizontal="center"/>
      <protection/>
    </xf>
    <xf numFmtId="180" fontId="0" fillId="36" borderId="20" xfId="57" applyNumberFormat="1" applyFont="1" applyFill="1" applyBorder="1" applyAlignment="1">
      <alignment horizontal="center"/>
      <protection/>
    </xf>
    <xf numFmtId="2" fontId="0" fillId="36" borderId="22" xfId="57" applyNumberFormat="1" applyFill="1" applyBorder="1" applyAlignment="1">
      <alignment horizontal="center"/>
      <protection/>
    </xf>
    <xf numFmtId="0" fontId="0" fillId="6" borderId="0" xfId="57" applyFont="1" applyFill="1" applyBorder="1" applyAlignment="1">
      <alignment horizontal="center"/>
      <protection/>
    </xf>
    <xf numFmtId="0" fontId="0" fillId="6" borderId="0" xfId="57" applyFill="1" applyBorder="1" applyAlignment="1">
      <alignment horizontal="center"/>
      <protection/>
    </xf>
    <xf numFmtId="0" fontId="0" fillId="6" borderId="14" xfId="57" applyFill="1" applyBorder="1" applyAlignment="1">
      <alignment horizontal="center"/>
      <protection/>
    </xf>
    <xf numFmtId="0" fontId="0" fillId="45" borderId="21" xfId="57" applyFill="1" applyBorder="1" applyAlignment="1">
      <alignment horizontal="center"/>
      <protection/>
    </xf>
    <xf numFmtId="0" fontId="0" fillId="45" borderId="22" xfId="57" applyFill="1" applyBorder="1" applyAlignment="1">
      <alignment horizontal="center"/>
      <protection/>
    </xf>
    <xf numFmtId="0" fontId="0" fillId="34" borderId="22" xfId="57" applyFill="1" applyBorder="1" applyAlignment="1">
      <alignment horizontal="center"/>
      <protection/>
    </xf>
    <xf numFmtId="0" fontId="0" fillId="0" borderId="0" xfId="57" applyAlignment="1">
      <alignment horizontal="center"/>
      <protection/>
    </xf>
    <xf numFmtId="0" fontId="5" fillId="37" borderId="20" xfId="57" applyFont="1" applyFill="1" applyBorder="1" applyAlignment="1">
      <alignment horizontal="center" vertical="center" wrapText="1"/>
      <protection/>
    </xf>
    <xf numFmtId="179" fontId="0" fillId="37" borderId="21" xfId="57" applyNumberFormat="1" applyFont="1" applyFill="1" applyBorder="1" applyAlignment="1">
      <alignment horizontal="center"/>
      <protection/>
    </xf>
    <xf numFmtId="179" fontId="5" fillId="37" borderId="22" xfId="57" applyNumberFormat="1" applyFont="1" applyFill="1" applyBorder="1" applyAlignment="1">
      <alignment horizontal="center"/>
      <protection/>
    </xf>
    <xf numFmtId="0" fontId="0" fillId="0" borderId="15" xfId="57" applyBorder="1" applyAlignment="1">
      <alignment horizontal="center"/>
      <protection/>
    </xf>
    <xf numFmtId="0" fontId="0" fillId="0" borderId="0" xfId="57" applyFont="1" applyBorder="1">
      <alignment/>
      <protection/>
    </xf>
    <xf numFmtId="0" fontId="0" fillId="0" borderId="0" xfId="57" applyFill="1" applyBorder="1" applyAlignment="1">
      <alignment horizontal="center"/>
      <protection/>
    </xf>
    <xf numFmtId="0" fontId="0" fillId="0" borderId="0" xfId="57" applyBorder="1" applyAlignment="1">
      <alignment horizontal="center"/>
      <protection/>
    </xf>
    <xf numFmtId="179" fontId="0" fillId="0" borderId="0" xfId="57" applyNumberFormat="1" applyBorder="1" applyAlignment="1">
      <alignment horizontal="center"/>
      <protection/>
    </xf>
    <xf numFmtId="180" fontId="0" fillId="0" borderId="15" xfId="57" applyNumberFormat="1" applyFont="1" applyFill="1" applyBorder="1" applyAlignment="1">
      <alignment horizontal="center"/>
      <protection/>
    </xf>
    <xf numFmtId="2" fontId="0" fillId="0" borderId="14" xfId="57" applyNumberFormat="1" applyBorder="1" applyAlignment="1">
      <alignment horizontal="center"/>
      <protection/>
    </xf>
    <xf numFmtId="0" fontId="0" fillId="45" borderId="0" xfId="57" applyFill="1" applyBorder="1" applyAlignment="1">
      <alignment horizontal="center"/>
      <protection/>
    </xf>
    <xf numFmtId="0" fontId="0" fillId="45" borderId="14" xfId="57" applyFill="1" applyBorder="1" applyAlignment="1">
      <alignment horizontal="center"/>
      <protection/>
    </xf>
    <xf numFmtId="0" fontId="0" fillId="34" borderId="14" xfId="57" applyFill="1" applyBorder="1" applyAlignment="1">
      <alignment horizontal="center"/>
      <protection/>
    </xf>
    <xf numFmtId="0" fontId="5" fillId="35" borderId="15" xfId="57" applyFont="1" applyFill="1" applyBorder="1" applyAlignment="1">
      <alignment horizontal="center" vertical="center" wrapText="1"/>
      <protection/>
    </xf>
    <xf numFmtId="179" fontId="0" fillId="35" borderId="0" xfId="57" applyNumberFormat="1" applyFont="1" applyFill="1" applyBorder="1" applyAlignment="1">
      <alignment horizontal="center"/>
      <protection/>
    </xf>
    <xf numFmtId="179" fontId="5" fillId="35" borderId="14" xfId="57" applyNumberFormat="1" applyFont="1" applyFill="1" applyBorder="1" applyAlignment="1">
      <alignment horizontal="center"/>
      <protection/>
    </xf>
    <xf numFmtId="0" fontId="0" fillId="34" borderId="15" xfId="57" applyFill="1" applyBorder="1" applyAlignment="1">
      <alignment horizontal="center"/>
      <protection/>
    </xf>
    <xf numFmtId="0" fontId="0" fillId="34" borderId="0" xfId="57" applyFont="1" applyFill="1" applyBorder="1">
      <alignment/>
      <protection/>
    </xf>
    <xf numFmtId="0" fontId="0" fillId="34" borderId="0" xfId="57" applyFill="1" applyBorder="1" applyAlignment="1">
      <alignment horizontal="center"/>
      <protection/>
    </xf>
    <xf numFmtId="179" fontId="5" fillId="34" borderId="0" xfId="57" applyNumberFormat="1" applyFont="1" applyFill="1" applyBorder="1" applyAlignment="1">
      <alignment horizontal="center"/>
      <protection/>
    </xf>
    <xf numFmtId="179" fontId="0" fillId="34" borderId="0" xfId="57" applyNumberFormat="1" applyFill="1" applyBorder="1" applyAlignment="1">
      <alignment horizontal="center"/>
      <protection/>
    </xf>
    <xf numFmtId="180" fontId="0" fillId="34" borderId="15" xfId="57" applyNumberFormat="1" applyFont="1" applyFill="1" applyBorder="1" applyAlignment="1">
      <alignment horizontal="center"/>
      <protection/>
    </xf>
    <xf numFmtId="2" fontId="0" fillId="34" borderId="14" xfId="57" applyNumberFormat="1" applyFill="1" applyBorder="1" applyAlignment="1">
      <alignment horizontal="center"/>
      <protection/>
    </xf>
    <xf numFmtId="0" fontId="5" fillId="13" borderId="15"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4" xfId="57" applyNumberFormat="1" applyFont="1" applyFill="1" applyBorder="1" applyAlignment="1">
      <alignment horizontal="center"/>
      <protection/>
    </xf>
    <xf numFmtId="0" fontId="0" fillId="42" borderId="15" xfId="57" applyFill="1" applyBorder="1" applyAlignment="1">
      <alignment horizontal="center"/>
      <protection/>
    </xf>
    <xf numFmtId="0" fontId="0" fillId="42" borderId="0" xfId="57" applyFont="1" applyFill="1" applyBorder="1">
      <alignment/>
      <protection/>
    </xf>
    <xf numFmtId="0" fontId="0" fillId="42" borderId="0" xfId="57" applyFill="1" applyBorder="1" applyAlignment="1">
      <alignment horizontal="center"/>
      <protection/>
    </xf>
    <xf numFmtId="179" fontId="0" fillId="42" borderId="0" xfId="57" applyNumberFormat="1" applyFill="1" applyBorder="1" applyAlignment="1">
      <alignment horizontal="center"/>
      <protection/>
    </xf>
    <xf numFmtId="180" fontId="0" fillId="42" borderId="15" xfId="57" applyNumberFormat="1" applyFont="1" applyFill="1" applyBorder="1" applyAlignment="1">
      <alignment horizontal="center"/>
      <protection/>
    </xf>
    <xf numFmtId="2" fontId="0" fillId="42" borderId="14" xfId="57" applyNumberFormat="1" applyFill="1" applyBorder="1" applyAlignment="1">
      <alignment horizontal="center"/>
      <protection/>
    </xf>
    <xf numFmtId="0" fontId="5" fillId="39" borderId="15"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5" fillId="39" borderId="14" xfId="57" applyNumberFormat="1" applyFont="1" applyFill="1" applyBorder="1" applyAlignment="1">
      <alignment horizontal="center"/>
      <protection/>
    </xf>
    <xf numFmtId="0" fontId="0" fillId="0" borderId="15" xfId="57" applyFill="1" applyBorder="1" applyAlignment="1">
      <alignment horizontal="center"/>
      <protection/>
    </xf>
    <xf numFmtId="0" fontId="0" fillId="0" borderId="0" xfId="57" applyFont="1" applyFill="1" applyBorder="1">
      <alignment/>
      <protection/>
    </xf>
    <xf numFmtId="0" fontId="0" fillId="0" borderId="0" xfId="57" applyFont="1" applyFill="1" applyBorder="1" applyAlignment="1">
      <alignment horizontal="center"/>
      <protection/>
    </xf>
    <xf numFmtId="179" fontId="0" fillId="0" borderId="0" xfId="57" applyNumberFormat="1" applyFont="1" applyFill="1" applyBorder="1" applyAlignment="1">
      <alignment horizontal="center"/>
      <protection/>
    </xf>
    <xf numFmtId="179" fontId="0" fillId="0" borderId="0" xfId="57" applyNumberFormat="1" applyFill="1" applyBorder="1" applyAlignment="1">
      <alignment horizontal="center"/>
      <protection/>
    </xf>
    <xf numFmtId="2" fontId="0" fillId="0" borderId="14" xfId="57" applyNumberFormat="1" applyFill="1" applyBorder="1" applyAlignment="1">
      <alignment horizontal="center"/>
      <protection/>
    </xf>
    <xf numFmtId="0" fontId="5" fillId="41" borderId="15" xfId="57" applyFont="1" applyFill="1" applyBorder="1" applyAlignment="1">
      <alignment horizontal="center" vertical="center" wrapText="1"/>
      <protection/>
    </xf>
    <xf numFmtId="179" fontId="0" fillId="41" borderId="0" xfId="57" applyNumberFormat="1" applyFont="1" applyFill="1" applyBorder="1" applyAlignment="1">
      <alignment horizontal="center"/>
      <protection/>
    </xf>
    <xf numFmtId="179" fontId="0" fillId="42" borderId="0" xfId="57" applyNumberFormat="1" applyFont="1" applyFill="1" applyBorder="1" applyAlignment="1">
      <alignment horizontal="center"/>
      <protection/>
    </xf>
    <xf numFmtId="179" fontId="5" fillId="42" borderId="14" xfId="57" applyNumberFormat="1" applyFont="1" applyFill="1" applyBorder="1" applyAlignment="1">
      <alignment horizontal="center"/>
      <protection/>
    </xf>
    <xf numFmtId="0" fontId="5" fillId="32" borderId="15"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4" xfId="57" applyNumberFormat="1" applyFont="1" applyFill="1" applyBorder="1" applyAlignment="1">
      <alignment horizontal="center"/>
      <protection/>
    </xf>
    <xf numFmtId="0" fontId="0" fillId="35" borderId="15" xfId="57" applyFill="1" applyBorder="1" applyAlignment="1">
      <alignment horizontal="center"/>
      <protection/>
    </xf>
    <xf numFmtId="0" fontId="0" fillId="35" borderId="0" xfId="57" applyFont="1" applyFill="1" applyBorder="1">
      <alignment/>
      <protection/>
    </xf>
    <xf numFmtId="0" fontId="0" fillId="35" borderId="0" xfId="57" applyFill="1" applyBorder="1" applyAlignment="1">
      <alignment horizontal="center"/>
      <protection/>
    </xf>
    <xf numFmtId="179" fontId="0" fillId="35" borderId="0" xfId="57" applyNumberFormat="1" applyFill="1" applyBorder="1" applyAlignment="1">
      <alignment horizontal="center"/>
      <protection/>
    </xf>
    <xf numFmtId="180" fontId="0" fillId="35" borderId="15" xfId="57" applyNumberFormat="1" applyFont="1" applyFill="1" applyBorder="1" applyAlignment="1">
      <alignment horizontal="center"/>
      <protection/>
    </xf>
    <xf numFmtId="2" fontId="0" fillId="35" borderId="14" xfId="57" applyNumberFormat="1" applyFill="1" applyBorder="1" applyAlignment="1">
      <alignment horizontal="center"/>
      <protection/>
    </xf>
    <xf numFmtId="0" fontId="5" fillId="33" borderId="15" xfId="57" applyFont="1" applyFill="1" applyBorder="1" applyAlignment="1">
      <alignment horizontal="center" vertical="center" wrapText="1"/>
      <protection/>
    </xf>
    <xf numFmtId="179" fontId="0" fillId="33" borderId="0" xfId="57" applyNumberFormat="1" applyFont="1" applyFill="1" applyBorder="1" applyAlignment="1">
      <alignment horizontal="center"/>
      <protection/>
    </xf>
    <xf numFmtId="179" fontId="5" fillId="33" borderId="14" xfId="57" applyNumberFormat="1" applyFont="1" applyFill="1" applyBorder="1" applyAlignment="1">
      <alignment horizontal="center"/>
      <protection/>
    </xf>
    <xf numFmtId="0" fontId="0" fillId="39" borderId="15" xfId="57" applyFill="1" applyBorder="1" applyAlignment="1">
      <alignment horizontal="center"/>
      <protection/>
    </xf>
    <xf numFmtId="0" fontId="0" fillId="39" borderId="0" xfId="57" applyFont="1" applyFill="1" applyBorder="1">
      <alignment/>
      <protection/>
    </xf>
    <xf numFmtId="0" fontId="0" fillId="39" borderId="0" xfId="57" applyFill="1" applyBorder="1" applyAlignment="1">
      <alignment horizontal="center"/>
      <protection/>
    </xf>
    <xf numFmtId="179" fontId="0" fillId="39" borderId="0" xfId="57" applyNumberFormat="1" applyFill="1" applyBorder="1" applyAlignment="1">
      <alignment horizontal="center"/>
      <protection/>
    </xf>
    <xf numFmtId="180" fontId="0" fillId="39" borderId="15" xfId="57" applyNumberFormat="1" applyFont="1" applyFill="1" applyBorder="1" applyAlignment="1">
      <alignment horizontal="center"/>
      <protection/>
    </xf>
    <xf numFmtId="2" fontId="0" fillId="39" borderId="14" xfId="57" applyNumberFormat="1" applyFill="1" applyBorder="1" applyAlignment="1">
      <alignment horizontal="center"/>
      <protection/>
    </xf>
    <xf numFmtId="0" fontId="5" fillId="34" borderId="15"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4" xfId="57" applyNumberFormat="1" applyFont="1" applyFill="1" applyBorder="1" applyAlignment="1">
      <alignment horizontal="center"/>
      <protection/>
    </xf>
    <xf numFmtId="0" fontId="5" fillId="38" borderId="15"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4" xfId="57" applyNumberFormat="1" applyFont="1" applyFill="1" applyBorder="1" applyAlignment="1">
      <alignment horizontal="center"/>
      <protection/>
    </xf>
    <xf numFmtId="0" fontId="5" fillId="11" borderId="15"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4" xfId="57" applyNumberFormat="1" applyFont="1" applyFill="1" applyBorder="1" applyAlignment="1">
      <alignment horizontal="center"/>
      <protection/>
    </xf>
    <xf numFmtId="0" fontId="5" fillId="36" borderId="18" xfId="57" applyFont="1" applyFill="1" applyBorder="1" applyAlignment="1">
      <alignment horizontal="center" vertical="center" wrapText="1"/>
      <protection/>
    </xf>
    <xf numFmtId="179" fontId="0" fillId="36" borderId="10" xfId="57" applyNumberFormat="1" applyFont="1" applyFill="1" applyBorder="1" applyAlignment="1">
      <alignment horizontal="center"/>
      <protection/>
    </xf>
    <xf numFmtId="179" fontId="5" fillId="36" borderId="19" xfId="57" applyNumberFormat="1" applyFont="1" applyFill="1" applyBorder="1" applyAlignment="1">
      <alignment horizontal="center"/>
      <protection/>
    </xf>
    <xf numFmtId="0" fontId="0" fillId="33" borderId="15" xfId="57" applyFill="1" applyBorder="1" applyAlignment="1">
      <alignment horizontal="center"/>
      <protection/>
    </xf>
    <xf numFmtId="0" fontId="0" fillId="33" borderId="0" xfId="57" applyFont="1" applyFill="1" applyBorder="1">
      <alignment/>
      <protection/>
    </xf>
    <xf numFmtId="0" fontId="0" fillId="33" borderId="0" xfId="57" applyFill="1" applyBorder="1" applyAlignment="1">
      <alignment horizontal="center"/>
      <protection/>
    </xf>
    <xf numFmtId="179" fontId="5" fillId="33" borderId="0" xfId="57" applyNumberFormat="1" applyFont="1" applyFill="1" applyBorder="1" applyAlignment="1">
      <alignment horizontal="center"/>
      <protection/>
    </xf>
    <xf numFmtId="179" fontId="0" fillId="33" borderId="0" xfId="57" applyNumberFormat="1" applyFill="1" applyBorder="1" applyAlignment="1">
      <alignment horizontal="center"/>
      <protection/>
    </xf>
    <xf numFmtId="180" fontId="0" fillId="33" borderId="15" xfId="57" applyNumberFormat="1" applyFont="1" applyFill="1" applyBorder="1" applyAlignment="1">
      <alignment horizontal="center"/>
      <protection/>
    </xf>
    <xf numFmtId="2" fontId="0" fillId="33" borderId="14" xfId="57" applyNumberFormat="1" applyFill="1" applyBorder="1" applyAlignment="1">
      <alignment horizontal="center"/>
      <protection/>
    </xf>
    <xf numFmtId="0" fontId="0" fillId="32" borderId="15" xfId="57" applyFill="1" applyBorder="1" applyAlignment="1">
      <alignment horizontal="center"/>
      <protection/>
    </xf>
    <xf numFmtId="0" fontId="0" fillId="32" borderId="0" xfId="57" applyFont="1" applyFill="1" applyBorder="1">
      <alignment/>
      <protection/>
    </xf>
    <xf numFmtId="0" fontId="0" fillId="32" borderId="0" xfId="57" applyFill="1" applyBorder="1" applyAlignment="1">
      <alignment horizontal="center"/>
      <protection/>
    </xf>
    <xf numFmtId="179" fontId="0" fillId="32" borderId="0" xfId="57" applyNumberFormat="1" applyFill="1" applyBorder="1" applyAlignment="1">
      <alignment horizontal="center"/>
      <protection/>
    </xf>
    <xf numFmtId="49" fontId="0" fillId="32" borderId="0" xfId="57" applyNumberFormat="1" applyFont="1" applyFill="1" applyBorder="1" applyAlignment="1">
      <alignment horizontal="center"/>
      <protection/>
    </xf>
    <xf numFmtId="180" fontId="0" fillId="32" borderId="15" xfId="57" applyNumberFormat="1" applyFont="1" applyFill="1" applyBorder="1" applyAlignment="1">
      <alignment horizontal="center"/>
      <protection/>
    </xf>
    <xf numFmtId="2" fontId="0" fillId="32" borderId="14" xfId="57" applyNumberFormat="1" applyFill="1" applyBorder="1" applyAlignment="1">
      <alignment horizontal="center"/>
      <protection/>
    </xf>
    <xf numFmtId="0" fontId="0" fillId="33" borderId="18" xfId="57" applyFill="1" applyBorder="1" applyAlignment="1">
      <alignment horizontal="center"/>
      <protection/>
    </xf>
    <xf numFmtId="0" fontId="0" fillId="33" borderId="10" xfId="57" applyFont="1" applyFill="1" applyBorder="1">
      <alignment/>
      <protection/>
    </xf>
    <xf numFmtId="0" fontId="0" fillId="33" borderId="10" xfId="57" applyFill="1" applyBorder="1" applyAlignment="1">
      <alignment horizontal="center"/>
      <protection/>
    </xf>
    <xf numFmtId="179" fontId="5" fillId="33" borderId="10" xfId="57" applyNumberFormat="1" applyFont="1" applyFill="1" applyBorder="1" applyAlignment="1">
      <alignment horizontal="center"/>
      <protection/>
    </xf>
    <xf numFmtId="49" fontId="0" fillId="33" borderId="10" xfId="57" applyNumberFormat="1" applyFont="1" applyFill="1" applyBorder="1" applyAlignment="1">
      <alignment horizontal="center"/>
      <protection/>
    </xf>
    <xf numFmtId="179" fontId="0" fillId="33" borderId="10" xfId="57" applyNumberFormat="1" applyFont="1" applyFill="1" applyBorder="1" applyAlignment="1">
      <alignment horizontal="center"/>
      <protection/>
    </xf>
    <xf numFmtId="0" fontId="8" fillId="0" borderId="23" xfId="57" applyFont="1" applyFill="1" applyBorder="1" applyAlignment="1">
      <alignment horizontal="center" vertical="center"/>
      <protection/>
    </xf>
    <xf numFmtId="1" fontId="8" fillId="0" borderId="24" xfId="57" applyNumberFormat="1" applyFont="1" applyBorder="1" applyAlignment="1">
      <alignment horizontal="center"/>
      <protection/>
    </xf>
    <xf numFmtId="2" fontId="0" fillId="0" borderId="24" xfId="57" applyNumberFormat="1" applyBorder="1" applyAlignment="1">
      <alignment horizontal="center"/>
      <protection/>
    </xf>
    <xf numFmtId="0" fontId="0" fillId="0" borderId="24" xfId="57" applyBorder="1" applyAlignment="1">
      <alignment horizontal="center"/>
      <protection/>
    </xf>
    <xf numFmtId="1" fontId="8" fillId="0" borderId="25" xfId="57" applyNumberFormat="1" applyFont="1" applyBorder="1" applyAlignment="1">
      <alignment horizontal="center"/>
      <protection/>
    </xf>
    <xf numFmtId="0" fontId="5" fillId="0" borderId="0" xfId="57" applyFont="1" applyBorder="1" applyAlignment="1">
      <alignment horizontal="center"/>
      <protection/>
    </xf>
    <xf numFmtId="0" fontId="0" fillId="0" borderId="0" xfId="57">
      <alignment/>
      <protection/>
    </xf>
    <xf numFmtId="2" fontId="0" fillId="0" borderId="0" xfId="57" applyNumberFormat="1" applyAlignment="1">
      <alignment horizontal="center"/>
      <protection/>
    </xf>
    <xf numFmtId="179" fontId="9" fillId="0" borderId="0" xfId="57" applyNumberFormat="1" applyFont="1" applyAlignment="1">
      <alignment horizontal="center" vertical="center"/>
      <protection/>
    </xf>
    <xf numFmtId="0" fontId="5" fillId="44" borderId="20" xfId="57" applyFont="1" applyFill="1" applyBorder="1" applyAlignment="1">
      <alignment horizontal="center" vertical="center" wrapText="1"/>
      <protection/>
    </xf>
    <xf numFmtId="0" fontId="5" fillId="44" borderId="21" xfId="57" applyFont="1" applyFill="1" applyBorder="1" applyAlignment="1">
      <alignment horizontal="left" vertical="center"/>
      <protection/>
    </xf>
    <xf numFmtId="0" fontId="5" fillId="44" borderId="21" xfId="57" applyFont="1" applyFill="1" applyBorder="1" applyAlignment="1">
      <alignment horizontal="center" vertical="center"/>
      <protection/>
    </xf>
    <xf numFmtId="179" fontId="5" fillId="44" borderId="21" xfId="57" applyNumberFormat="1" applyFont="1" applyFill="1" applyBorder="1" applyAlignment="1">
      <alignment horizontal="center" vertical="center" wrapText="1"/>
      <protection/>
    </xf>
    <xf numFmtId="0" fontId="5" fillId="44" borderId="21" xfId="57" applyFont="1" applyFill="1" applyBorder="1" applyAlignment="1">
      <alignment horizontal="center" vertical="center" wrapText="1"/>
      <protection/>
    </xf>
    <xf numFmtId="0" fontId="5" fillId="36" borderId="21" xfId="57" applyFont="1" applyFill="1" applyBorder="1" applyAlignment="1">
      <alignment horizontal="center" vertical="center"/>
      <protection/>
    </xf>
    <xf numFmtId="0" fontId="5" fillId="11" borderId="21" xfId="57" applyFont="1" applyFill="1" applyBorder="1" applyAlignment="1">
      <alignment horizontal="center" vertical="center"/>
      <protection/>
    </xf>
    <xf numFmtId="0" fontId="5" fillId="38" borderId="21" xfId="57" applyFont="1" applyFill="1" applyBorder="1" applyAlignment="1">
      <alignment horizontal="center" vertical="center"/>
      <protection/>
    </xf>
    <xf numFmtId="0" fontId="5" fillId="34" borderId="21" xfId="57" applyFont="1" applyFill="1" applyBorder="1" applyAlignment="1">
      <alignment horizontal="center" vertical="center"/>
      <protection/>
    </xf>
    <xf numFmtId="0" fontId="5" fillId="33" borderId="21" xfId="57" applyFont="1" applyFill="1" applyBorder="1" applyAlignment="1">
      <alignment horizontal="center" vertical="center"/>
      <protection/>
    </xf>
    <xf numFmtId="0" fontId="5" fillId="32" borderId="21" xfId="57" applyFont="1" applyFill="1" applyBorder="1" applyAlignment="1">
      <alignment horizontal="center" vertical="center"/>
      <protection/>
    </xf>
    <xf numFmtId="0" fontId="5" fillId="42" borderId="21" xfId="57" applyFont="1" applyFill="1" applyBorder="1" applyAlignment="1">
      <alignment horizontal="center" vertical="center"/>
      <protection/>
    </xf>
    <xf numFmtId="0" fontId="5" fillId="39" borderId="21" xfId="57" applyFont="1" applyFill="1" applyBorder="1" applyAlignment="1">
      <alignment horizontal="center" vertical="center"/>
      <protection/>
    </xf>
    <xf numFmtId="0" fontId="5" fillId="13" borderId="21" xfId="57" applyFont="1" applyFill="1" applyBorder="1" applyAlignment="1">
      <alignment horizontal="center" vertical="center"/>
      <protection/>
    </xf>
    <xf numFmtId="0" fontId="5" fillId="35" borderId="21" xfId="57" applyFont="1" applyFill="1" applyBorder="1" applyAlignment="1">
      <alignment horizontal="center" vertical="center"/>
      <protection/>
    </xf>
    <xf numFmtId="0" fontId="5" fillId="37" borderId="22" xfId="57" applyFont="1" applyFill="1" applyBorder="1" applyAlignment="1">
      <alignment horizontal="center" vertical="center"/>
      <protection/>
    </xf>
    <xf numFmtId="0" fontId="5" fillId="33" borderId="21" xfId="57" applyFont="1" applyFill="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22" xfId="57" applyFont="1" applyFill="1" applyBorder="1" applyAlignment="1">
      <alignment horizontal="center" vertical="center" wrapText="1"/>
      <protection/>
    </xf>
    <xf numFmtId="0" fontId="5" fillId="0" borderId="20" xfId="57" applyFont="1" applyBorder="1" applyAlignment="1">
      <alignment horizontal="center" vertical="center"/>
      <protection/>
    </xf>
    <xf numFmtId="0" fontId="5" fillId="0" borderId="21" xfId="57" applyFont="1" applyBorder="1" applyAlignment="1">
      <alignment horizontal="center" vertical="center"/>
      <protection/>
    </xf>
    <xf numFmtId="0" fontId="5" fillId="0" borderId="22" xfId="57" applyFont="1" applyBorder="1" applyAlignment="1">
      <alignment horizontal="center" vertical="center"/>
      <protection/>
    </xf>
    <xf numFmtId="0" fontId="0" fillId="38" borderId="20" xfId="57" applyFill="1" applyBorder="1" applyAlignment="1">
      <alignment horizontal="center"/>
      <protection/>
    </xf>
    <xf numFmtId="0" fontId="0" fillId="38" borderId="21" xfId="57" applyFill="1" applyBorder="1">
      <alignment/>
      <protection/>
    </xf>
    <xf numFmtId="0" fontId="0" fillId="38" borderId="21" xfId="57" applyFill="1" applyBorder="1" applyAlignment="1">
      <alignment horizontal="center"/>
      <protection/>
    </xf>
    <xf numFmtId="49" fontId="0" fillId="38" borderId="21" xfId="57" applyNumberFormat="1" applyFill="1" applyBorder="1" applyAlignment="1">
      <alignment horizontal="center"/>
      <protection/>
    </xf>
    <xf numFmtId="0" fontId="0" fillId="38" borderId="21" xfId="57" applyNumberFormat="1" applyFont="1" applyFill="1" applyBorder="1" applyAlignment="1">
      <alignment horizontal="center"/>
      <protection/>
    </xf>
    <xf numFmtId="0" fontId="0" fillId="38" borderId="22" xfId="57" applyNumberFormat="1" applyFont="1" applyFill="1" applyBorder="1" applyAlignment="1">
      <alignment horizontal="center"/>
      <protection/>
    </xf>
    <xf numFmtId="0" fontId="0" fillId="34" borderId="21" xfId="57" applyFill="1" applyBorder="1" applyAlignment="1">
      <alignment horizontal="center"/>
      <protection/>
    </xf>
    <xf numFmtId="180" fontId="0" fillId="38" borderId="21" xfId="57" applyNumberFormat="1" applyFont="1" applyFill="1" applyBorder="1" applyAlignment="1">
      <alignment horizontal="center"/>
      <protection/>
    </xf>
    <xf numFmtId="2" fontId="0" fillId="38" borderId="21" xfId="57" applyNumberFormat="1" applyFill="1" applyBorder="1" applyAlignment="1">
      <alignment horizontal="center"/>
      <protection/>
    </xf>
    <xf numFmtId="0" fontId="0" fillId="38" borderId="22" xfId="57" applyFill="1" applyBorder="1" applyAlignment="1">
      <alignment horizontal="center"/>
      <protection/>
    </xf>
    <xf numFmtId="0" fontId="5" fillId="37" borderId="15" xfId="57" applyFont="1" applyFill="1" applyBorder="1" applyAlignment="1">
      <alignment horizontal="center" vertical="center" wrapText="1"/>
      <protection/>
    </xf>
    <xf numFmtId="0" fontId="5" fillId="37" borderId="0" xfId="57" applyFont="1" applyFill="1" applyBorder="1" applyAlignment="1">
      <alignment horizontal="center"/>
      <protection/>
    </xf>
    <xf numFmtId="179" fontId="5" fillId="37" borderId="14" xfId="57" applyNumberFormat="1" applyFont="1" applyFill="1" applyBorder="1" applyAlignment="1">
      <alignment horizontal="center"/>
      <protection/>
    </xf>
    <xf numFmtId="0" fontId="0" fillId="34" borderId="0" xfId="57" applyFill="1" applyBorder="1">
      <alignment/>
      <protection/>
    </xf>
    <xf numFmtId="49" fontId="5" fillId="34" borderId="0" xfId="57" applyNumberFormat="1" applyFont="1" applyFill="1" applyBorder="1" applyAlignment="1">
      <alignment horizontal="center"/>
      <protection/>
    </xf>
    <xf numFmtId="0" fontId="5" fillId="34" borderId="0" xfId="57" applyFont="1" applyFill="1" applyBorder="1">
      <alignment/>
      <protection/>
    </xf>
    <xf numFmtId="0" fontId="0" fillId="34" borderId="0" xfId="57" applyNumberFormat="1" applyFont="1" applyFill="1" applyBorder="1" applyAlignment="1">
      <alignment horizontal="center"/>
      <protection/>
    </xf>
    <xf numFmtId="0" fontId="0" fillId="34" borderId="14" xfId="57" applyNumberFormat="1" applyFont="1" applyFill="1" applyBorder="1" applyAlignment="1">
      <alignment horizontal="center"/>
      <protection/>
    </xf>
    <xf numFmtId="180" fontId="0" fillId="34" borderId="0" xfId="57" applyNumberFormat="1" applyFont="1" applyFill="1" applyBorder="1" applyAlignment="1">
      <alignment horizontal="center"/>
      <protection/>
    </xf>
    <xf numFmtId="2" fontId="0" fillId="34" borderId="0" xfId="57" applyNumberFormat="1" applyFill="1" applyBorder="1" applyAlignment="1">
      <alignment horizontal="center"/>
      <protection/>
    </xf>
    <xf numFmtId="0" fontId="5" fillId="35" borderId="0" xfId="57" applyFont="1" applyFill="1" applyBorder="1" applyAlignment="1">
      <alignment horizontal="center"/>
      <protection/>
    </xf>
    <xf numFmtId="0" fontId="0" fillId="11" borderId="15" xfId="57" applyFill="1" applyBorder="1" applyAlignment="1">
      <alignment horizontal="center"/>
      <protection/>
    </xf>
    <xf numFmtId="0" fontId="0" fillId="11" borderId="0" xfId="57" applyFill="1" applyBorder="1">
      <alignment/>
      <protection/>
    </xf>
    <xf numFmtId="0" fontId="0" fillId="11" borderId="0" xfId="57" applyFill="1" applyBorder="1" applyAlignment="1">
      <alignment horizontal="center"/>
      <protection/>
    </xf>
    <xf numFmtId="49" fontId="0" fillId="11" borderId="0" xfId="57" applyNumberFormat="1" applyFill="1" applyBorder="1" applyAlignment="1">
      <alignment horizontal="center"/>
      <protection/>
    </xf>
    <xf numFmtId="0" fontId="0" fillId="11" borderId="0" xfId="57" applyNumberFormat="1" applyFont="1" applyFill="1" applyBorder="1" applyAlignment="1">
      <alignment horizontal="center"/>
      <protection/>
    </xf>
    <xf numFmtId="0" fontId="0" fillId="11" borderId="14" xfId="57" applyNumberFormat="1" applyFont="1" applyFill="1" applyBorder="1" applyAlignment="1">
      <alignment horizontal="center"/>
      <protection/>
    </xf>
    <xf numFmtId="180" fontId="0" fillId="11" borderId="0" xfId="57" applyNumberFormat="1" applyFont="1" applyFill="1" applyBorder="1" applyAlignment="1">
      <alignment horizontal="center"/>
      <protection/>
    </xf>
    <xf numFmtId="2" fontId="0" fillId="11" borderId="0" xfId="57" applyNumberFormat="1" applyFill="1" applyBorder="1" applyAlignment="1">
      <alignment horizontal="center"/>
      <protection/>
    </xf>
    <xf numFmtId="0" fontId="0" fillId="11" borderId="14" xfId="57" applyFill="1" applyBorder="1" applyAlignment="1">
      <alignment horizontal="center"/>
      <protection/>
    </xf>
    <xf numFmtId="0" fontId="5" fillId="13" borderId="0" xfId="57" applyFont="1" applyFill="1" applyBorder="1" applyAlignment="1">
      <alignment horizontal="center"/>
      <protection/>
    </xf>
    <xf numFmtId="0" fontId="0" fillId="39" borderId="0" xfId="57" applyFill="1" applyBorder="1">
      <alignment/>
      <protection/>
    </xf>
    <xf numFmtId="49" fontId="5" fillId="39" borderId="0" xfId="57" applyNumberFormat="1" applyFont="1" applyFill="1" applyBorder="1" applyAlignment="1">
      <alignment horizontal="center"/>
      <protection/>
    </xf>
    <xf numFmtId="0" fontId="5" fillId="39" borderId="0" xfId="57" applyFont="1" applyFill="1" applyBorder="1">
      <alignment/>
      <protection/>
    </xf>
    <xf numFmtId="0" fontId="0" fillId="39" borderId="0" xfId="57" applyNumberFormat="1" applyFont="1" applyFill="1" applyBorder="1" applyAlignment="1">
      <alignment horizontal="center"/>
      <protection/>
    </xf>
    <xf numFmtId="0" fontId="0" fillId="39" borderId="14" xfId="57" applyNumberFormat="1" applyFont="1" applyFill="1" applyBorder="1" applyAlignment="1">
      <alignment horizontal="center"/>
      <protection/>
    </xf>
    <xf numFmtId="180" fontId="0" fillId="39" borderId="0" xfId="57" applyNumberFormat="1" applyFont="1" applyFill="1" applyBorder="1" applyAlignment="1">
      <alignment horizontal="center"/>
      <protection/>
    </xf>
    <xf numFmtId="2" fontId="0" fillId="39" borderId="0" xfId="57" applyNumberFormat="1" applyFill="1" applyBorder="1" applyAlignment="1">
      <alignment horizontal="center"/>
      <protection/>
    </xf>
    <xf numFmtId="0" fontId="0" fillId="39" borderId="14" xfId="57" applyFill="1" applyBorder="1" applyAlignment="1">
      <alignment horizontal="center"/>
      <protection/>
    </xf>
    <xf numFmtId="0" fontId="5" fillId="39" borderId="0" xfId="57" applyFont="1" applyFill="1" applyBorder="1" applyAlignment="1">
      <alignment horizontal="center"/>
      <protection/>
    </xf>
    <xf numFmtId="0" fontId="0" fillId="32" borderId="0" xfId="57" applyFill="1" applyBorder="1">
      <alignment/>
      <protection/>
    </xf>
    <xf numFmtId="49" fontId="0" fillId="32" borderId="0" xfId="57" applyNumberFormat="1" applyFill="1" applyBorder="1" applyAlignment="1">
      <alignment horizontal="center"/>
      <protection/>
    </xf>
    <xf numFmtId="0" fontId="0" fillId="32" borderId="0" xfId="57" applyNumberFormat="1" applyFont="1" applyFill="1" applyBorder="1" applyAlignment="1">
      <alignment horizontal="center"/>
      <protection/>
    </xf>
    <xf numFmtId="0" fontId="0" fillId="32" borderId="14" xfId="57" applyNumberFormat="1" applyFont="1" applyFill="1" applyBorder="1" applyAlignment="1">
      <alignment horizontal="center"/>
      <protection/>
    </xf>
    <xf numFmtId="180" fontId="0" fillId="32" borderId="0" xfId="57" applyNumberFormat="1" applyFont="1" applyFill="1" applyBorder="1" applyAlignment="1">
      <alignment horizontal="center"/>
      <protection/>
    </xf>
    <xf numFmtId="2" fontId="0" fillId="32" borderId="0" xfId="57" applyNumberFormat="1" applyFill="1" applyBorder="1" applyAlignment="1">
      <alignment horizontal="center"/>
      <protection/>
    </xf>
    <xf numFmtId="0" fontId="0" fillId="32" borderId="14" xfId="57" applyFill="1" applyBorder="1" applyAlignment="1">
      <alignment horizontal="center"/>
      <protection/>
    </xf>
    <xf numFmtId="0" fontId="5" fillId="41" borderId="0" xfId="57" applyFont="1" applyFill="1" applyBorder="1" applyAlignment="1">
      <alignment horizontal="center"/>
      <protection/>
    </xf>
    <xf numFmtId="179" fontId="5" fillId="41" borderId="14" xfId="57" applyNumberFormat="1" applyFont="1" applyFill="1" applyBorder="1" applyAlignment="1">
      <alignment horizontal="center"/>
      <protection/>
    </xf>
    <xf numFmtId="0" fontId="0" fillId="42" borderId="0" xfId="57" applyFill="1" applyBorder="1">
      <alignment/>
      <protection/>
    </xf>
    <xf numFmtId="49" fontId="0" fillId="42" borderId="0" xfId="57" applyNumberFormat="1" applyFill="1" applyBorder="1" applyAlignment="1">
      <alignment horizontal="center"/>
      <protection/>
    </xf>
    <xf numFmtId="0" fontId="0" fillId="42" borderId="0" xfId="57" applyNumberFormat="1" applyFont="1" applyFill="1" applyBorder="1" applyAlignment="1">
      <alignment horizontal="center"/>
      <protection/>
    </xf>
    <xf numFmtId="0" fontId="0" fillId="42" borderId="14" xfId="57" applyNumberFormat="1" applyFont="1" applyFill="1" applyBorder="1" applyAlignment="1">
      <alignment horizontal="center"/>
      <protection/>
    </xf>
    <xf numFmtId="180" fontId="0" fillId="42" borderId="0" xfId="57" applyNumberFormat="1" applyFont="1" applyFill="1" applyBorder="1" applyAlignment="1">
      <alignment horizontal="center"/>
      <protection/>
    </xf>
    <xf numFmtId="2" fontId="0" fillId="42" borderId="0" xfId="57" applyNumberFormat="1" applyFill="1" applyBorder="1" applyAlignment="1">
      <alignment horizontal="center"/>
      <protection/>
    </xf>
    <xf numFmtId="0" fontId="0" fillId="42" borderId="14" xfId="57" applyFill="1" applyBorder="1" applyAlignment="1">
      <alignment horizontal="center"/>
      <protection/>
    </xf>
    <xf numFmtId="0" fontId="5" fillId="32" borderId="0" xfId="57" applyFont="1" applyFill="1" applyBorder="1" applyAlignment="1">
      <alignment horizontal="center"/>
      <protection/>
    </xf>
    <xf numFmtId="0" fontId="0" fillId="0" borderId="0" xfId="57" applyBorder="1">
      <alignment/>
      <protection/>
    </xf>
    <xf numFmtId="49" fontId="0" fillId="0" borderId="0" xfId="57" applyNumberFormat="1" applyBorder="1" applyAlignment="1">
      <alignment horizontal="center"/>
      <protection/>
    </xf>
    <xf numFmtId="0" fontId="0" fillId="0" borderId="0" xfId="57" applyNumberFormat="1" applyFont="1" applyFill="1" applyBorder="1" applyAlignment="1">
      <alignment horizontal="center"/>
      <protection/>
    </xf>
    <xf numFmtId="0" fontId="0" fillId="0" borderId="14" xfId="57" applyNumberFormat="1" applyFont="1" applyFill="1" applyBorder="1" applyAlignment="1">
      <alignment horizontal="center"/>
      <protection/>
    </xf>
    <xf numFmtId="180" fontId="0" fillId="0" borderId="0" xfId="57" applyNumberFormat="1" applyFont="1" applyFill="1" applyBorder="1" applyAlignment="1">
      <alignment horizontal="center"/>
      <protection/>
    </xf>
    <xf numFmtId="2" fontId="0" fillId="0" borderId="0" xfId="57" applyNumberFormat="1" applyFill="1" applyBorder="1" applyAlignment="1">
      <alignment horizontal="center"/>
      <protection/>
    </xf>
    <xf numFmtId="0" fontId="0" fillId="0" borderId="14" xfId="57" applyFill="1" applyBorder="1" applyAlignment="1">
      <alignment horizontal="center"/>
      <protection/>
    </xf>
    <xf numFmtId="0" fontId="5" fillId="33" borderId="0" xfId="57" applyFont="1" applyFill="1" applyBorder="1" applyAlignment="1">
      <alignment horizontal="center"/>
      <protection/>
    </xf>
    <xf numFmtId="0" fontId="0" fillId="35" borderId="0" xfId="57" applyFill="1" applyBorder="1">
      <alignment/>
      <protection/>
    </xf>
    <xf numFmtId="49" fontId="0" fillId="35" borderId="0" xfId="57" applyNumberFormat="1" applyFill="1" applyBorder="1" applyAlignment="1">
      <alignment horizontal="center"/>
      <protection/>
    </xf>
    <xf numFmtId="0" fontId="0" fillId="35" borderId="0" xfId="57" applyNumberFormat="1" applyFont="1" applyFill="1" applyBorder="1" applyAlignment="1">
      <alignment horizontal="center"/>
      <protection/>
    </xf>
    <xf numFmtId="0" fontId="0" fillId="35" borderId="14" xfId="57" applyNumberFormat="1" applyFont="1" applyFill="1" applyBorder="1" applyAlignment="1">
      <alignment horizontal="center"/>
      <protection/>
    </xf>
    <xf numFmtId="180" fontId="0" fillId="35" borderId="0" xfId="57" applyNumberFormat="1" applyFont="1" applyFill="1" applyBorder="1" applyAlignment="1">
      <alignment horizontal="center"/>
      <protection/>
    </xf>
    <xf numFmtId="2" fontId="0" fillId="35" borderId="0" xfId="57" applyNumberFormat="1" applyFill="1" applyBorder="1" applyAlignment="1">
      <alignment horizontal="center"/>
      <protection/>
    </xf>
    <xf numFmtId="0" fontId="0" fillId="35" borderId="14" xfId="57" applyFill="1" applyBorder="1" applyAlignment="1">
      <alignment horizontal="center"/>
      <protection/>
    </xf>
    <xf numFmtId="0" fontId="5" fillId="34" borderId="0" xfId="57" applyFont="1" applyFill="1" applyBorder="1" applyAlignment="1">
      <alignment horizontal="center"/>
      <protection/>
    </xf>
    <xf numFmtId="0" fontId="5" fillId="38" borderId="0" xfId="57" applyFont="1" applyFill="1" applyBorder="1" applyAlignment="1">
      <alignment horizontal="center"/>
      <protection/>
    </xf>
    <xf numFmtId="0" fontId="5" fillId="11" borderId="0" xfId="57" applyFont="1" applyFill="1" applyBorder="1" applyAlignment="1">
      <alignment horizontal="center"/>
      <protection/>
    </xf>
    <xf numFmtId="0" fontId="5" fillId="36" borderId="10" xfId="57" applyFont="1" applyFill="1" applyBorder="1" applyAlignment="1">
      <alignment horizontal="center"/>
      <protection/>
    </xf>
    <xf numFmtId="0" fontId="0" fillId="35" borderId="18" xfId="57" applyFill="1" applyBorder="1" applyAlignment="1">
      <alignment horizontal="center"/>
      <protection/>
    </xf>
    <xf numFmtId="0" fontId="0" fillId="35" borderId="10" xfId="57" applyFill="1" applyBorder="1">
      <alignment/>
      <protection/>
    </xf>
    <xf numFmtId="0" fontId="0" fillId="35" borderId="10" xfId="57" applyFill="1" applyBorder="1" applyAlignment="1">
      <alignment horizontal="center"/>
      <protection/>
    </xf>
    <xf numFmtId="49" fontId="0" fillId="35" borderId="10" xfId="57" applyNumberFormat="1" applyFill="1" applyBorder="1" applyAlignment="1">
      <alignment horizontal="center"/>
      <protection/>
    </xf>
    <xf numFmtId="0" fontId="0" fillId="35" borderId="10" xfId="57" applyNumberFormat="1" applyFont="1" applyFill="1" applyBorder="1" applyAlignment="1">
      <alignment horizontal="center"/>
      <protection/>
    </xf>
    <xf numFmtId="0" fontId="0" fillId="35" borderId="19" xfId="57" applyNumberFormat="1" applyFont="1" applyFill="1" applyBorder="1" applyAlignment="1">
      <alignment horizontal="center"/>
      <protection/>
    </xf>
    <xf numFmtId="180" fontId="0" fillId="35" borderId="10" xfId="57" applyNumberFormat="1" applyFont="1" applyFill="1" applyBorder="1" applyAlignment="1">
      <alignment horizontal="center"/>
      <protection/>
    </xf>
    <xf numFmtId="2" fontId="0" fillId="35" borderId="10" xfId="57" applyNumberFormat="1" applyFill="1" applyBorder="1" applyAlignment="1">
      <alignment horizontal="center"/>
      <protection/>
    </xf>
    <xf numFmtId="0" fontId="0" fillId="35" borderId="19" xfId="57" applyFill="1" applyBorder="1" applyAlignment="1">
      <alignment horizontal="center"/>
      <protection/>
    </xf>
    <xf numFmtId="0" fontId="8" fillId="0" borderId="0" xfId="57" applyFont="1" applyFill="1" applyBorder="1" applyAlignment="1">
      <alignment horizontal="center" vertical="center"/>
      <protection/>
    </xf>
    <xf numFmtId="0" fontId="8" fillId="0" borderId="18" xfId="57" applyFont="1" applyFill="1" applyBorder="1" applyAlignment="1">
      <alignment horizontal="center" vertical="center"/>
      <protection/>
    </xf>
    <xf numFmtId="1" fontId="8" fillId="0" borderId="10" xfId="57" applyNumberFormat="1" applyFont="1" applyBorder="1" applyAlignment="1">
      <alignment horizontal="center"/>
      <protection/>
    </xf>
    <xf numFmtId="1" fontId="8" fillId="0" borderId="0" xfId="57" applyNumberFormat="1" applyFont="1" applyBorder="1" applyAlignment="1">
      <alignment horizontal="center"/>
      <protection/>
    </xf>
    <xf numFmtId="2" fontId="0" fillId="0" borderId="0" xfId="57" applyNumberFormat="1" applyBorder="1" applyAlignment="1">
      <alignment horizontal="center"/>
      <protection/>
    </xf>
    <xf numFmtId="0" fontId="0" fillId="42" borderId="0" xfId="0" applyFont="1" applyFill="1" applyBorder="1" applyAlignment="1">
      <alignment horizontal="center"/>
    </xf>
    <xf numFmtId="0" fontId="0" fillId="42" borderId="14" xfId="0" applyFont="1" applyFill="1" applyBorder="1" applyAlignment="1">
      <alignment/>
    </xf>
    <xf numFmtId="0" fontId="0" fillId="42" borderId="15" xfId="0" applyFont="1" applyFill="1" applyBorder="1" applyAlignment="1">
      <alignment horizontal="center"/>
    </xf>
    <xf numFmtId="0" fontId="0" fillId="37" borderId="15" xfId="0" applyFont="1" applyFill="1" applyBorder="1" applyAlignment="1">
      <alignment horizontal="center"/>
    </xf>
    <xf numFmtId="0" fontId="5" fillId="0" borderId="0" xfId="57" applyFont="1" applyAlignment="1">
      <alignment horizontal="center" vertical="center"/>
      <protection/>
    </xf>
    <xf numFmtId="0" fontId="0" fillId="36" borderId="15" xfId="57" applyFill="1" applyBorder="1" applyAlignment="1">
      <alignment horizontal="center"/>
      <protection/>
    </xf>
    <xf numFmtId="0" fontId="0" fillId="36" borderId="0" xfId="57" applyFont="1" applyFill="1" applyBorder="1" applyAlignment="1">
      <alignment horizontal="center"/>
      <protection/>
    </xf>
    <xf numFmtId="0" fontId="0" fillId="36" borderId="0" xfId="57" applyFill="1" applyBorder="1" applyAlignment="1">
      <alignment horizontal="center"/>
      <protection/>
    </xf>
    <xf numFmtId="49" fontId="0" fillId="36" borderId="0" xfId="57" applyNumberFormat="1" applyFill="1" applyBorder="1" applyAlignment="1">
      <alignment horizontal="center"/>
      <protection/>
    </xf>
    <xf numFmtId="0" fontId="0" fillId="36" borderId="21" xfId="57" applyNumberFormat="1" applyFont="1" applyFill="1" applyBorder="1" applyAlignment="1">
      <alignment horizontal="center"/>
      <protection/>
    </xf>
    <xf numFmtId="0" fontId="0" fillId="34" borderId="20" xfId="57" applyFill="1" applyBorder="1" applyAlignment="1">
      <alignment horizontal="center"/>
      <protection/>
    </xf>
    <xf numFmtId="180" fontId="0" fillId="36" borderId="21" xfId="57" applyNumberFormat="1" applyFont="1" applyFill="1" applyBorder="1" applyAlignment="1">
      <alignment horizontal="center"/>
      <protection/>
    </xf>
    <xf numFmtId="2" fontId="0" fillId="36" borderId="21" xfId="57" applyNumberFormat="1" applyFill="1" applyBorder="1" applyAlignment="1">
      <alignment horizontal="center"/>
      <protection/>
    </xf>
    <xf numFmtId="0" fontId="0" fillId="36" borderId="22" xfId="57" applyFill="1" applyBorder="1" applyAlignment="1">
      <alignment horizontal="center"/>
      <protection/>
    </xf>
    <xf numFmtId="0" fontId="0" fillId="34" borderId="11" xfId="57" applyFill="1" applyBorder="1" applyAlignment="1">
      <alignment horizontal="center"/>
      <protection/>
    </xf>
    <xf numFmtId="0" fontId="5" fillId="37" borderId="21" xfId="57" applyFont="1" applyFill="1" applyBorder="1" applyAlignment="1">
      <alignment horizontal="center"/>
      <protection/>
    </xf>
    <xf numFmtId="185" fontId="5" fillId="37" borderId="22" xfId="57" applyNumberFormat="1" applyFont="1" applyFill="1" applyBorder="1" applyAlignment="1">
      <alignment horizontal="center"/>
      <protection/>
    </xf>
    <xf numFmtId="0" fontId="0" fillId="11" borderId="0" xfId="57" applyFont="1" applyFill="1" applyBorder="1" applyAlignment="1">
      <alignment horizontal="center"/>
      <protection/>
    </xf>
    <xf numFmtId="0" fontId="0" fillId="34" borderId="12" xfId="57" applyFill="1" applyBorder="1" applyAlignment="1">
      <alignment horizontal="center"/>
      <protection/>
    </xf>
    <xf numFmtId="0" fontId="0" fillId="34" borderId="0" xfId="57" applyFont="1" applyFill="1" applyBorder="1" applyAlignment="1">
      <alignment horizontal="center"/>
      <protection/>
    </xf>
    <xf numFmtId="0" fontId="0" fillId="0" borderId="0" xfId="57" applyFont="1" applyBorder="1" applyAlignment="1">
      <alignment horizontal="center"/>
      <protection/>
    </xf>
    <xf numFmtId="185" fontId="5" fillId="39" borderId="14" xfId="57" applyNumberFormat="1" applyFont="1" applyFill="1" applyBorder="1" applyAlignment="1">
      <alignment horizontal="center"/>
      <protection/>
    </xf>
    <xf numFmtId="0" fontId="0" fillId="32" borderId="0" xfId="57" applyFont="1" applyFill="1" applyBorder="1" applyAlignment="1">
      <alignment horizontal="center"/>
      <protection/>
    </xf>
    <xf numFmtId="49" fontId="5" fillId="32" borderId="0" xfId="57" applyNumberFormat="1" applyFont="1" applyFill="1" applyBorder="1" applyAlignment="1">
      <alignment horizontal="center"/>
      <protection/>
    </xf>
    <xf numFmtId="0" fontId="5" fillId="42" borderId="0" xfId="57" applyFont="1" applyFill="1" applyBorder="1" applyAlignment="1">
      <alignment horizontal="center"/>
      <protection/>
    </xf>
    <xf numFmtId="0" fontId="0" fillId="41" borderId="15" xfId="57" applyFill="1" applyBorder="1" applyAlignment="1">
      <alignment horizontal="center"/>
      <protection/>
    </xf>
    <xf numFmtId="0" fontId="0" fillId="42" borderId="0" xfId="57" applyFont="1" applyFill="1" applyBorder="1" applyAlignment="1">
      <alignment horizontal="center"/>
      <protection/>
    </xf>
    <xf numFmtId="0" fontId="0" fillId="35" borderId="0" xfId="57" applyFont="1" applyFill="1" applyBorder="1" applyAlignment="1">
      <alignment horizontal="center"/>
      <protection/>
    </xf>
    <xf numFmtId="0" fontId="0" fillId="33" borderId="0" xfId="57" applyFill="1" applyBorder="1">
      <alignment/>
      <protection/>
    </xf>
    <xf numFmtId="185" fontId="0" fillId="33" borderId="14" xfId="57" applyNumberFormat="1" applyFill="1" applyBorder="1">
      <alignment/>
      <protection/>
    </xf>
    <xf numFmtId="185" fontId="0" fillId="34" borderId="14" xfId="57" applyNumberFormat="1" applyFill="1" applyBorder="1">
      <alignment/>
      <protection/>
    </xf>
    <xf numFmtId="0" fontId="0" fillId="35" borderId="10" xfId="57" applyFont="1" applyFill="1" applyBorder="1" applyAlignment="1">
      <alignment horizontal="center"/>
      <protection/>
    </xf>
    <xf numFmtId="0" fontId="0" fillId="34" borderId="13" xfId="57" applyFill="1" applyBorder="1" applyAlignment="1">
      <alignment horizontal="center"/>
      <protection/>
    </xf>
    <xf numFmtId="0" fontId="0" fillId="34" borderId="15" xfId="0" applyFont="1" applyFill="1" applyBorder="1" applyAlignment="1">
      <alignment horizontal="center"/>
    </xf>
    <xf numFmtId="0" fontId="0" fillId="35" borderId="10" xfId="0" applyFont="1" applyFill="1" applyBorder="1" applyAlignment="1">
      <alignment/>
    </xf>
    <xf numFmtId="0" fontId="0" fillId="35" borderId="19" xfId="0" applyFont="1" applyFill="1" applyBorder="1" applyAlignment="1">
      <alignment/>
    </xf>
    <xf numFmtId="0" fontId="0" fillId="35" borderId="1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C2" t="str">
            <v>dave moore</v>
          </cell>
          <cell r="D2" t="str">
            <v>OPN</v>
          </cell>
          <cell r="E2" t="str">
            <v>1:07.1616</v>
          </cell>
          <cell r="G2" t="str">
            <v>S28</v>
          </cell>
          <cell r="H2">
            <v>100</v>
          </cell>
          <cell r="I2" t="str">
            <v/>
          </cell>
          <cell r="J2" t="str">
            <v/>
          </cell>
          <cell r="K2" t="str">
            <v/>
          </cell>
          <cell r="L2" t="str">
            <v/>
          </cell>
          <cell r="M2" t="str">
            <v/>
          </cell>
          <cell r="N2" t="str">
            <v/>
          </cell>
          <cell r="O2" t="str">
            <v/>
          </cell>
          <cell r="P2" t="str">
            <v/>
          </cell>
          <cell r="Q2" t="str">
            <v/>
          </cell>
          <cell r="R2" t="str">
            <v/>
          </cell>
          <cell r="S2">
            <v>100</v>
          </cell>
          <cell r="T2">
            <v>0</v>
          </cell>
          <cell r="U2">
            <v>67.14</v>
          </cell>
          <cell r="V2">
            <v>0.02199999999999136</v>
          </cell>
          <cell r="W2">
            <v>5</v>
          </cell>
          <cell r="X2">
            <v>7</v>
          </cell>
          <cell r="Y2">
            <v>11</v>
          </cell>
          <cell r="Z2">
            <v>1</v>
          </cell>
          <cell r="AA2">
            <v>0</v>
          </cell>
          <cell r="AB2">
            <v>100</v>
          </cell>
          <cell r="AC2">
            <v>105</v>
          </cell>
          <cell r="AE2" t="str">
            <v>SNA</v>
          </cell>
          <cell r="AF2" t="str">
            <v>Robert Downes</v>
          </cell>
          <cell r="AG2">
            <v>0.0011239236111111111</v>
          </cell>
        </row>
        <row r="3">
          <cell r="C3" t="str">
            <v>tim meaden</v>
          </cell>
          <cell r="D3" t="str">
            <v>RES</v>
          </cell>
          <cell r="E3" t="str">
            <v>1:09.6818</v>
          </cell>
          <cell r="G3" t="str">
            <v>S7</v>
          </cell>
          <cell r="H3" t="str">
            <v/>
          </cell>
          <cell r="I3">
            <v>100</v>
          </cell>
          <cell r="J3" t="str">
            <v/>
          </cell>
          <cell r="K3" t="str">
            <v/>
          </cell>
          <cell r="L3" t="str">
            <v/>
          </cell>
          <cell r="M3" t="str">
            <v/>
          </cell>
          <cell r="N3" t="str">
            <v/>
          </cell>
          <cell r="O3" t="str">
            <v/>
          </cell>
          <cell r="P3" t="str">
            <v/>
          </cell>
          <cell r="Q3" t="str">
            <v/>
          </cell>
          <cell r="R3" t="str">
            <v/>
          </cell>
          <cell r="S3">
            <v>100</v>
          </cell>
          <cell r="T3">
            <v>0</v>
          </cell>
          <cell r="U3">
            <v>66.983</v>
          </cell>
          <cell r="V3">
            <v>2.698999999999998</v>
          </cell>
          <cell r="W3">
            <v>-5</v>
          </cell>
          <cell r="X3">
            <v>6</v>
          </cell>
          <cell r="Y3">
            <v>10</v>
          </cell>
          <cell r="Z3">
            <v>1</v>
          </cell>
          <cell r="AA3">
            <v>0</v>
          </cell>
          <cell r="AB3">
            <v>100</v>
          </cell>
          <cell r="AC3">
            <v>95</v>
          </cell>
          <cell r="AE3" t="str">
            <v>SNB</v>
          </cell>
          <cell r="AF3" t="str">
            <v>Peter Dannock</v>
          </cell>
          <cell r="AG3">
            <v>0.000844699074074074</v>
          </cell>
        </row>
        <row r="4">
          <cell r="C4" t="str">
            <v>alan conrad</v>
          </cell>
          <cell r="D4" t="str">
            <v>CDMOD</v>
          </cell>
          <cell r="E4" t="str">
            <v>1:09.7018</v>
          </cell>
          <cell r="F4" t="str">
            <v>New lap record</v>
          </cell>
          <cell r="G4" t="str">
            <v>S19</v>
          </cell>
          <cell r="H4" t="str">
            <v/>
          </cell>
          <cell r="I4" t="str">
            <v/>
          </cell>
          <cell r="J4" t="str">
            <v/>
          </cell>
          <cell r="K4">
            <v>100</v>
          </cell>
          <cell r="L4" t="str">
            <v/>
          </cell>
          <cell r="M4" t="str">
            <v/>
          </cell>
          <cell r="N4" t="str">
            <v/>
          </cell>
          <cell r="O4" t="str">
            <v/>
          </cell>
          <cell r="P4" t="str">
            <v/>
          </cell>
          <cell r="Q4" t="str">
            <v/>
          </cell>
          <cell r="R4" t="str">
            <v/>
          </cell>
          <cell r="S4">
            <v>100</v>
          </cell>
          <cell r="T4">
            <v>0</v>
          </cell>
          <cell r="U4" t="str">
            <v>NotSet</v>
          </cell>
          <cell r="W4">
            <v>0</v>
          </cell>
          <cell r="X4">
            <v>4</v>
          </cell>
          <cell r="Y4">
            <v>8</v>
          </cell>
          <cell r="Z4">
            <v>1</v>
          </cell>
          <cell r="AA4">
            <v>0</v>
          </cell>
          <cell r="AB4">
            <v>100</v>
          </cell>
          <cell r="AC4">
            <v>100</v>
          </cell>
          <cell r="AE4" t="str">
            <v>SNC</v>
          </cell>
          <cell r="AF4" t="str">
            <v>Robert Hart</v>
          </cell>
          <cell r="AG4">
            <v>0.0008065972222222221</v>
          </cell>
        </row>
        <row r="5">
          <cell r="C5" t="str">
            <v>ray monik</v>
          </cell>
          <cell r="D5" t="str">
            <v>-</v>
          </cell>
          <cell r="E5" t="str">
            <v>1:10.1193</v>
          </cell>
          <cell r="G5" t="str">
            <v>S7</v>
          </cell>
          <cell r="H5" t="str">
            <v/>
          </cell>
          <cell r="I5" t="str">
            <v/>
          </cell>
          <cell r="J5" t="str">
            <v/>
          </cell>
          <cell r="K5" t="str">
            <v/>
          </cell>
          <cell r="L5" t="str">
            <v/>
          </cell>
          <cell r="M5" t="str">
            <v/>
          </cell>
          <cell r="N5" t="str">
            <v/>
          </cell>
          <cell r="O5" t="str">
            <v/>
          </cell>
          <cell r="P5" t="str">
            <v/>
          </cell>
          <cell r="Q5" t="str">
            <v/>
          </cell>
          <cell r="R5" t="str">
            <v/>
          </cell>
          <cell r="S5">
            <v>0</v>
          </cell>
          <cell r="X5" t="str">
            <v>n/a</v>
          </cell>
          <cell r="Y5" t="str">
            <v>n/a</v>
          </cell>
          <cell r="Z5" t="str">
            <v/>
          </cell>
          <cell r="AA5">
            <v>0</v>
          </cell>
          <cell r="AB5">
            <v>0</v>
          </cell>
          <cell r="AC5">
            <v>0</v>
          </cell>
          <cell r="AE5" t="str">
            <v>SND</v>
          </cell>
        </row>
        <row r="6">
          <cell r="C6" t="str">
            <v>noel heritage</v>
          </cell>
          <cell r="D6" t="str">
            <v>NBC</v>
          </cell>
          <cell r="E6" t="str">
            <v>1:12.2222</v>
          </cell>
          <cell r="F6" t="str">
            <v>New lap record</v>
          </cell>
          <cell r="G6" t="str">
            <v>S7</v>
          </cell>
          <cell r="H6" t="str">
            <v/>
          </cell>
          <cell r="I6" t="str">
            <v/>
          </cell>
          <cell r="J6" t="str">
            <v/>
          </cell>
          <cell r="K6" t="str">
            <v/>
          </cell>
          <cell r="L6" t="str">
            <v/>
          </cell>
          <cell r="M6">
            <v>100</v>
          </cell>
          <cell r="N6" t="str">
            <v/>
          </cell>
          <cell r="O6" t="str">
            <v/>
          </cell>
          <cell r="P6" t="str">
            <v/>
          </cell>
          <cell r="Q6" t="str">
            <v/>
          </cell>
          <cell r="R6" t="str">
            <v/>
          </cell>
          <cell r="S6">
            <v>100</v>
          </cell>
          <cell r="T6">
            <v>0</v>
          </cell>
          <cell r="U6">
            <v>72.31000000000002</v>
          </cell>
          <cell r="V6">
            <v>-0.08800000000002228</v>
          </cell>
          <cell r="W6">
            <v>10</v>
          </cell>
          <cell r="X6">
            <v>2</v>
          </cell>
          <cell r="Y6">
            <v>4</v>
          </cell>
          <cell r="Z6">
            <v>1</v>
          </cell>
          <cell r="AA6">
            <v>0</v>
          </cell>
          <cell r="AB6">
            <v>100</v>
          </cell>
          <cell r="AC6">
            <v>110</v>
          </cell>
          <cell r="AE6" t="str">
            <v>NAC</v>
          </cell>
          <cell r="AF6" t="str">
            <v>Tim Emery</v>
          </cell>
          <cell r="AG6">
            <v>0.0008333101851851852</v>
          </cell>
        </row>
        <row r="7">
          <cell r="C7" t="str">
            <v>robert downes</v>
          </cell>
          <cell r="D7" t="str">
            <v>NAC</v>
          </cell>
          <cell r="E7" t="str">
            <v>1:13.3239</v>
          </cell>
          <cell r="G7" t="str">
            <v>S7</v>
          </cell>
          <cell r="H7" t="str">
            <v/>
          </cell>
          <cell r="I7" t="str">
            <v/>
          </cell>
          <cell r="J7" t="str">
            <v/>
          </cell>
          <cell r="K7" t="str">
            <v/>
          </cell>
          <cell r="L7" t="str">
            <v/>
          </cell>
          <cell r="M7" t="str">
            <v/>
          </cell>
          <cell r="N7">
            <v>100</v>
          </cell>
          <cell r="O7" t="str">
            <v/>
          </cell>
          <cell r="P7" t="str">
            <v/>
          </cell>
          <cell r="Q7" t="str">
            <v/>
          </cell>
          <cell r="R7" t="str">
            <v/>
          </cell>
          <cell r="S7">
            <v>100</v>
          </cell>
          <cell r="T7">
            <v>0</v>
          </cell>
          <cell r="U7">
            <v>71.998</v>
          </cell>
          <cell r="V7">
            <v>1.3259999999999934</v>
          </cell>
          <cell r="W7">
            <v>0</v>
          </cell>
          <cell r="X7">
            <v>2</v>
          </cell>
          <cell r="Y7">
            <v>3</v>
          </cell>
          <cell r="Z7">
            <v>1</v>
          </cell>
          <cell r="AA7">
            <v>0</v>
          </cell>
          <cell r="AB7">
            <v>100</v>
          </cell>
          <cell r="AC7">
            <v>100</v>
          </cell>
          <cell r="AE7" t="str">
            <v>NBC</v>
          </cell>
          <cell r="AF7" t="str">
            <v>Noel Heritage</v>
          </cell>
          <cell r="AG7">
            <v>0.0008369212962962964</v>
          </cell>
        </row>
        <row r="8">
          <cell r="C8" t="str">
            <v>ibrahim rafei</v>
          </cell>
          <cell r="D8" t="str">
            <v>SNB</v>
          </cell>
          <cell r="E8" t="str">
            <v>1:14.0906</v>
          </cell>
          <cell r="G8" t="str">
            <v>S19</v>
          </cell>
          <cell r="H8" t="str">
            <v/>
          </cell>
          <cell r="I8" t="str">
            <v/>
          </cell>
          <cell r="J8" t="str">
            <v/>
          </cell>
          <cell r="K8" t="str">
            <v/>
          </cell>
          <cell r="L8" t="str">
            <v/>
          </cell>
          <cell r="M8" t="str">
            <v/>
          </cell>
          <cell r="N8" t="str">
            <v/>
          </cell>
          <cell r="O8" t="str">
            <v/>
          </cell>
          <cell r="P8" t="str">
            <v/>
          </cell>
          <cell r="Q8">
            <v>100</v>
          </cell>
          <cell r="R8" t="str">
            <v/>
          </cell>
          <cell r="S8">
            <v>100</v>
          </cell>
          <cell r="T8">
            <v>0</v>
          </cell>
          <cell r="U8">
            <v>72.982</v>
          </cell>
          <cell r="V8">
            <v>1.1089999999999947</v>
          </cell>
          <cell r="W8">
            <v>0</v>
          </cell>
          <cell r="X8">
            <v>1</v>
          </cell>
          <cell r="Y8">
            <v>2</v>
          </cell>
          <cell r="Z8">
            <v>1</v>
          </cell>
          <cell r="AA8">
            <v>0</v>
          </cell>
          <cell r="AB8">
            <v>100</v>
          </cell>
          <cell r="AC8">
            <v>100</v>
          </cell>
          <cell r="AE8" t="str">
            <v>ABMOD</v>
          </cell>
        </row>
        <row r="9">
          <cell r="C9" t="str">
            <v>john reid</v>
          </cell>
          <cell r="D9" t="str">
            <v>-</v>
          </cell>
          <cell r="E9" t="str">
            <v>1:14.1392</v>
          </cell>
          <cell r="G9" t="str">
            <v>S13</v>
          </cell>
          <cell r="H9" t="str">
            <v/>
          </cell>
          <cell r="I9" t="str">
            <v/>
          </cell>
          <cell r="J9" t="str">
            <v/>
          </cell>
          <cell r="K9" t="str">
            <v/>
          </cell>
          <cell r="L9" t="str">
            <v/>
          </cell>
          <cell r="M9" t="str">
            <v/>
          </cell>
          <cell r="N9" t="str">
            <v/>
          </cell>
          <cell r="O9" t="str">
            <v/>
          </cell>
          <cell r="P9" t="str">
            <v/>
          </cell>
          <cell r="Q9" t="str">
            <v/>
          </cell>
          <cell r="R9" t="str">
            <v/>
          </cell>
          <cell r="S9">
            <v>0</v>
          </cell>
          <cell r="X9" t="str">
            <v>n/a</v>
          </cell>
          <cell r="Y9" t="str">
            <v>n/a</v>
          </cell>
          <cell r="Z9" t="str">
            <v/>
          </cell>
          <cell r="AA9">
            <v>0</v>
          </cell>
          <cell r="AB9">
            <v>0</v>
          </cell>
          <cell r="AC9">
            <v>0</v>
          </cell>
          <cell r="AE9" t="str">
            <v>CDMOD</v>
          </cell>
        </row>
        <row r="10">
          <cell r="C10" t="str">
            <v>steve williamsz</v>
          </cell>
          <cell r="D10" t="str">
            <v>SNB</v>
          </cell>
          <cell r="E10" t="str">
            <v>1:14.2577</v>
          </cell>
          <cell r="G10" t="str">
            <v>S25</v>
          </cell>
          <cell r="H10" t="str">
            <v/>
          </cell>
          <cell r="I10" t="str">
            <v/>
          </cell>
          <cell r="J10" t="str">
            <v/>
          </cell>
          <cell r="K10" t="str">
            <v/>
          </cell>
          <cell r="L10" t="str">
            <v/>
          </cell>
          <cell r="M10" t="str">
            <v/>
          </cell>
          <cell r="N10" t="str">
            <v/>
          </cell>
          <cell r="O10" t="str">
            <v/>
          </cell>
          <cell r="P10" t="str">
            <v/>
          </cell>
          <cell r="Q10">
            <v>75</v>
          </cell>
          <cell r="R10" t="str">
            <v/>
          </cell>
          <cell r="S10">
            <v>75</v>
          </cell>
          <cell r="T10">
            <v>0</v>
          </cell>
          <cell r="U10">
            <v>72.982</v>
          </cell>
          <cell r="V10">
            <v>1.2760000000000105</v>
          </cell>
          <cell r="W10">
            <v>0</v>
          </cell>
          <cell r="X10">
            <v>1</v>
          </cell>
          <cell r="Y10">
            <v>2</v>
          </cell>
          <cell r="Z10">
            <v>2</v>
          </cell>
          <cell r="AA10">
            <v>0</v>
          </cell>
          <cell r="AB10">
            <v>75</v>
          </cell>
          <cell r="AC10">
            <v>75</v>
          </cell>
          <cell r="AE10" t="str">
            <v>SMOD</v>
          </cell>
          <cell r="AF10" t="str">
            <v>Russell Garner</v>
          </cell>
          <cell r="AG10">
            <v>0.0007832523148148149</v>
          </cell>
        </row>
        <row r="11">
          <cell r="C11" t="str">
            <v>simeon ouzas</v>
          </cell>
          <cell r="D11" t="str">
            <v>SNB</v>
          </cell>
          <cell r="E11" t="str">
            <v>1:14.4776</v>
          </cell>
          <cell r="G11" t="str">
            <v>S19</v>
          </cell>
          <cell r="H11" t="str">
            <v/>
          </cell>
          <cell r="I11" t="str">
            <v/>
          </cell>
          <cell r="J11" t="str">
            <v/>
          </cell>
          <cell r="K11" t="str">
            <v/>
          </cell>
          <cell r="L11" t="str">
            <v/>
          </cell>
          <cell r="M11" t="str">
            <v/>
          </cell>
          <cell r="N11" t="str">
            <v/>
          </cell>
          <cell r="O11" t="str">
            <v/>
          </cell>
          <cell r="P11" t="str">
            <v/>
          </cell>
          <cell r="Q11">
            <v>60</v>
          </cell>
          <cell r="R11" t="str">
            <v/>
          </cell>
          <cell r="S11">
            <v>60</v>
          </cell>
          <cell r="T11">
            <v>0</v>
          </cell>
          <cell r="U11">
            <v>72.982</v>
          </cell>
          <cell r="V11">
            <v>1.4959999999999951</v>
          </cell>
          <cell r="W11">
            <v>0</v>
          </cell>
          <cell r="X11">
            <v>1</v>
          </cell>
          <cell r="Y11">
            <v>2</v>
          </cell>
          <cell r="Z11">
            <v>3</v>
          </cell>
          <cell r="AA11">
            <v>0</v>
          </cell>
          <cell r="AB11">
            <v>60</v>
          </cell>
          <cell r="AC11">
            <v>60</v>
          </cell>
          <cell r="AE11" t="str">
            <v>RES</v>
          </cell>
          <cell r="AF11" t="str">
            <v>Brendan Beavis</v>
          </cell>
          <cell r="AG11">
            <v>0.0007752662037037037</v>
          </cell>
        </row>
        <row r="12">
          <cell r="C12" t="str">
            <v>murray seymour</v>
          </cell>
          <cell r="D12" t="str">
            <v>NBC</v>
          </cell>
          <cell r="E12" t="str">
            <v>1:14.5002</v>
          </cell>
          <cell r="G12" t="str">
            <v>S25</v>
          </cell>
          <cell r="H12" t="str">
            <v/>
          </cell>
          <cell r="I12" t="str">
            <v/>
          </cell>
          <cell r="J12" t="str">
            <v/>
          </cell>
          <cell r="K12" t="str">
            <v/>
          </cell>
          <cell r="L12" t="str">
            <v/>
          </cell>
          <cell r="M12">
            <v>75</v>
          </cell>
          <cell r="N12" t="str">
            <v/>
          </cell>
          <cell r="O12" t="str">
            <v/>
          </cell>
          <cell r="P12" t="str">
            <v/>
          </cell>
          <cell r="Q12" t="str">
            <v/>
          </cell>
          <cell r="R12" t="str">
            <v/>
          </cell>
          <cell r="S12">
            <v>75</v>
          </cell>
          <cell r="T12">
            <v>-45</v>
          </cell>
          <cell r="U12">
            <v>72.31000000000002</v>
          </cell>
          <cell r="V12">
            <v>2.1899999999999977</v>
          </cell>
          <cell r="W12">
            <v>-5</v>
          </cell>
          <cell r="X12">
            <v>2</v>
          </cell>
          <cell r="Y12">
            <v>4</v>
          </cell>
          <cell r="Z12">
            <v>2</v>
          </cell>
          <cell r="AA12">
            <v>3</v>
          </cell>
          <cell r="AB12">
            <v>30</v>
          </cell>
          <cell r="AC12">
            <v>25</v>
          </cell>
          <cell r="AE12" t="str">
            <v>OPN</v>
          </cell>
          <cell r="AF12" t="str">
            <v>Brendan Beavis</v>
          </cell>
          <cell r="AG12">
            <v>0.0007770833333333333</v>
          </cell>
        </row>
        <row r="13">
          <cell r="C13" t="str">
            <v>allison rafei</v>
          </cell>
          <cell r="D13" t="str">
            <v>SNB</v>
          </cell>
          <cell r="E13" t="str">
            <v>1:15.6634</v>
          </cell>
          <cell r="G13" t="str">
            <v>S21</v>
          </cell>
          <cell r="H13" t="str">
            <v/>
          </cell>
          <cell r="I13" t="str">
            <v/>
          </cell>
          <cell r="J13" t="str">
            <v/>
          </cell>
          <cell r="K13" t="str">
            <v/>
          </cell>
          <cell r="L13" t="str">
            <v/>
          </cell>
          <cell r="M13" t="str">
            <v/>
          </cell>
          <cell r="N13" t="str">
            <v/>
          </cell>
          <cell r="O13" t="str">
            <v/>
          </cell>
          <cell r="P13" t="str">
            <v/>
          </cell>
          <cell r="Q13">
            <v>45</v>
          </cell>
          <cell r="R13" t="str">
            <v/>
          </cell>
          <cell r="S13">
            <v>45</v>
          </cell>
          <cell r="T13">
            <v>0</v>
          </cell>
          <cell r="U13">
            <v>72.982</v>
          </cell>
          <cell r="V13">
            <v>2.6809999999999974</v>
          </cell>
          <cell r="W13">
            <v>-5</v>
          </cell>
          <cell r="X13">
            <v>1</v>
          </cell>
          <cell r="Y13">
            <v>2</v>
          </cell>
          <cell r="Z13">
            <v>4</v>
          </cell>
          <cell r="AA13">
            <v>0</v>
          </cell>
          <cell r="AB13">
            <v>45</v>
          </cell>
          <cell r="AC13">
            <v>40</v>
          </cell>
        </row>
        <row r="14">
          <cell r="C14" t="str">
            <v>jarrah pitt</v>
          </cell>
          <cell r="D14" t="str">
            <v>-</v>
          </cell>
          <cell r="E14" t="str">
            <v>1:15.7799</v>
          </cell>
          <cell r="G14" t="str">
            <v>S9</v>
          </cell>
          <cell r="H14" t="str">
            <v/>
          </cell>
          <cell r="I14" t="str">
            <v/>
          </cell>
          <cell r="J14" t="str">
            <v/>
          </cell>
          <cell r="K14" t="str">
            <v/>
          </cell>
          <cell r="L14" t="str">
            <v/>
          </cell>
          <cell r="M14" t="str">
            <v/>
          </cell>
          <cell r="N14" t="str">
            <v/>
          </cell>
          <cell r="O14" t="str">
            <v/>
          </cell>
          <cell r="P14" t="str">
            <v/>
          </cell>
          <cell r="Q14" t="str">
            <v/>
          </cell>
          <cell r="R14" t="str">
            <v/>
          </cell>
          <cell r="S14">
            <v>0</v>
          </cell>
          <cell r="X14" t="str">
            <v>n/a</v>
          </cell>
          <cell r="Y14" t="str">
            <v>n/a</v>
          </cell>
          <cell r="Z14" t="str">
            <v/>
          </cell>
          <cell r="AA14">
            <v>0</v>
          </cell>
          <cell r="AB14">
            <v>0</v>
          </cell>
          <cell r="AC14">
            <v>0</v>
          </cell>
        </row>
        <row r="15">
          <cell r="C15" t="str">
            <v>gareth pedley</v>
          </cell>
          <cell r="D15" t="str">
            <v>SNB</v>
          </cell>
          <cell r="E15" t="str">
            <v>1:16.3915</v>
          </cell>
          <cell r="G15" t="str">
            <v>S15</v>
          </cell>
          <cell r="H15" t="str">
            <v/>
          </cell>
          <cell r="I15" t="str">
            <v/>
          </cell>
          <cell r="J15" t="str">
            <v/>
          </cell>
          <cell r="K15" t="str">
            <v/>
          </cell>
          <cell r="L15" t="str">
            <v/>
          </cell>
          <cell r="M15" t="str">
            <v/>
          </cell>
          <cell r="N15" t="str">
            <v/>
          </cell>
          <cell r="O15" t="str">
            <v/>
          </cell>
          <cell r="P15" t="str">
            <v/>
          </cell>
          <cell r="Q15">
            <v>30</v>
          </cell>
          <cell r="R15" t="str">
            <v/>
          </cell>
          <cell r="S15">
            <v>30</v>
          </cell>
          <cell r="T15">
            <v>0</v>
          </cell>
          <cell r="U15">
            <v>72.982</v>
          </cell>
          <cell r="V15">
            <v>3.410000000000011</v>
          </cell>
          <cell r="W15">
            <v>-10</v>
          </cell>
          <cell r="X15">
            <v>1</v>
          </cell>
          <cell r="Y15">
            <v>2</v>
          </cell>
          <cell r="Z15">
            <v>5</v>
          </cell>
          <cell r="AA15">
            <v>0</v>
          </cell>
          <cell r="AB15">
            <v>30</v>
          </cell>
          <cell r="AC15">
            <v>20</v>
          </cell>
        </row>
        <row r="16">
          <cell r="C16" t="str">
            <v>ajith perera</v>
          </cell>
          <cell r="D16" t="str">
            <v>-</v>
          </cell>
          <cell r="E16" t="str">
            <v>1:16.9036</v>
          </cell>
          <cell r="G16" t="str">
            <v>S21</v>
          </cell>
          <cell r="H16" t="str">
            <v/>
          </cell>
          <cell r="I16" t="str">
            <v/>
          </cell>
          <cell r="J16" t="str">
            <v/>
          </cell>
          <cell r="K16" t="str">
            <v/>
          </cell>
          <cell r="L16" t="str">
            <v/>
          </cell>
          <cell r="M16" t="str">
            <v/>
          </cell>
          <cell r="N16" t="str">
            <v/>
          </cell>
          <cell r="O16" t="str">
            <v/>
          </cell>
          <cell r="P16" t="str">
            <v/>
          </cell>
          <cell r="Q16" t="str">
            <v/>
          </cell>
          <cell r="R16" t="str">
            <v/>
          </cell>
          <cell r="S16">
            <v>0</v>
          </cell>
          <cell r="X16" t="str">
            <v>n/a</v>
          </cell>
          <cell r="Y16" t="str">
            <v>n/a</v>
          </cell>
          <cell r="Z16" t="str">
            <v/>
          </cell>
          <cell r="AA16">
            <v>0</v>
          </cell>
          <cell r="AB16">
            <v>0</v>
          </cell>
          <cell r="AC16">
            <v>0</v>
          </cell>
        </row>
        <row r="17">
          <cell r="C17" t="str">
            <v>tony maslen</v>
          </cell>
          <cell r="D17" t="str">
            <v>SNB</v>
          </cell>
          <cell r="E17" t="str">
            <v>1:19.5228</v>
          </cell>
          <cell r="G17" t="str">
            <v>S15</v>
          </cell>
          <cell r="H17" t="str">
            <v/>
          </cell>
          <cell r="I17" t="str">
            <v/>
          </cell>
          <cell r="J17" t="str">
            <v/>
          </cell>
          <cell r="K17" t="str">
            <v/>
          </cell>
          <cell r="L17" t="str">
            <v/>
          </cell>
          <cell r="M17" t="str">
            <v/>
          </cell>
          <cell r="N17" t="str">
            <v/>
          </cell>
          <cell r="O17" t="str">
            <v/>
          </cell>
          <cell r="P17" t="str">
            <v/>
          </cell>
          <cell r="Q17">
            <v>15</v>
          </cell>
          <cell r="R17" t="str">
            <v/>
          </cell>
          <cell r="S17">
            <v>15</v>
          </cell>
          <cell r="T17">
            <v>0</v>
          </cell>
          <cell r="U17">
            <v>72.982</v>
          </cell>
          <cell r="V17">
            <v>6.540999999999997</v>
          </cell>
          <cell r="W17">
            <v>-10</v>
          </cell>
          <cell r="X17">
            <v>1</v>
          </cell>
          <cell r="Y17">
            <v>2</v>
          </cell>
          <cell r="Z17">
            <v>6</v>
          </cell>
          <cell r="AA17">
            <v>0</v>
          </cell>
          <cell r="AB17">
            <v>15</v>
          </cell>
          <cell r="AC17">
            <v>5</v>
          </cell>
        </row>
      </sheetData>
      <sheetData sheetId="2">
        <row r="2">
          <cell r="C2" t="str">
            <v>dave moore</v>
          </cell>
          <cell r="D2" t="str">
            <v>OPN</v>
          </cell>
          <cell r="E2">
            <v>0.0012714814814814815</v>
          </cell>
          <cell r="F2">
            <v>0.0008057870370370371</v>
          </cell>
          <cell r="G2">
            <v>0.0020772685185185187</v>
          </cell>
          <cell r="H2" t="str">
            <v>S10</v>
          </cell>
          <cell r="I2">
            <v>100</v>
          </cell>
          <cell r="T2">
            <v>161.031</v>
          </cell>
          <cell r="U2">
            <v>9.222499999999997</v>
          </cell>
          <cell r="V2">
            <v>100</v>
          </cell>
          <cell r="W2">
            <v>0</v>
          </cell>
          <cell r="X2">
            <v>-10</v>
          </cell>
          <cell r="Y2">
            <v>7</v>
          </cell>
          <cell r="Z2">
            <v>11</v>
          </cell>
          <cell r="AA2">
            <v>1</v>
          </cell>
          <cell r="AB2">
            <v>0</v>
          </cell>
          <cell r="AC2">
            <v>100</v>
          </cell>
          <cell r="AD2">
            <v>90</v>
          </cell>
          <cell r="AF2" t="str">
            <v>SNA</v>
          </cell>
          <cell r="AG2">
            <v>0.0012429050925925925</v>
          </cell>
          <cell r="AH2">
            <v>0.0008543518518518518</v>
          </cell>
          <cell r="AI2">
            <v>0.0020972569444444446</v>
          </cell>
        </row>
        <row r="3">
          <cell r="C3" t="str">
            <v>dean monik</v>
          </cell>
          <cell r="D3" t="str">
            <v>-</v>
          </cell>
          <cell r="E3">
            <v>0.0012349421296296295</v>
          </cell>
          <cell r="F3">
            <v>0.0008440856481481481</v>
          </cell>
          <cell r="G3">
            <v>0.0020790277777777777</v>
          </cell>
          <cell r="H3" t="str">
            <v>S10</v>
          </cell>
          <cell r="T3" t="str">
            <v/>
          </cell>
          <cell r="Y3" t="str">
            <v>n/a</v>
          </cell>
          <cell r="Z3" t="str">
            <v>n/a</v>
          </cell>
          <cell r="AA3" t="str">
            <v/>
          </cell>
          <cell r="AB3">
            <v>0</v>
          </cell>
          <cell r="AC3">
            <v>0</v>
          </cell>
          <cell r="AD3">
            <v>0</v>
          </cell>
          <cell r="AF3" t="str">
            <v>SNB</v>
          </cell>
          <cell r="AG3">
            <v>0.001238275462962963</v>
          </cell>
          <cell r="AH3">
            <v>0.0008528356481481481</v>
          </cell>
          <cell r="AI3">
            <v>0.002091111111111111</v>
          </cell>
        </row>
        <row r="4">
          <cell r="C4" t="str">
            <v>alan conrad</v>
          </cell>
          <cell r="D4" t="str">
            <v>CDMOD</v>
          </cell>
          <cell r="E4">
            <v>0.0012725578703703703</v>
          </cell>
          <cell r="F4">
            <v>0.000818125</v>
          </cell>
          <cell r="G4">
            <v>0.0020906828703703704</v>
          </cell>
          <cell r="H4" t="str">
            <v>S10</v>
          </cell>
          <cell r="L4">
            <v>100</v>
          </cell>
          <cell r="T4" t="str">
            <v>NotSet</v>
          </cell>
          <cell r="V4">
            <v>100</v>
          </cell>
          <cell r="W4">
            <v>0</v>
          </cell>
          <cell r="X4">
            <v>0</v>
          </cell>
          <cell r="Y4">
            <v>4</v>
          </cell>
          <cell r="Z4">
            <v>8</v>
          </cell>
          <cell r="AA4">
            <v>1</v>
          </cell>
          <cell r="AB4">
            <v>0</v>
          </cell>
          <cell r="AC4">
            <v>100</v>
          </cell>
          <cell r="AD4">
            <v>100</v>
          </cell>
          <cell r="AF4" t="str">
            <v>SNC</v>
          </cell>
          <cell r="AG4">
            <v>0.0011998611111111112</v>
          </cell>
          <cell r="AH4">
            <v>0.0008293402777777778</v>
          </cell>
          <cell r="AI4">
            <v>0.002029201388888889</v>
          </cell>
        </row>
        <row r="5">
          <cell r="C5" t="str">
            <v>robert downes</v>
          </cell>
          <cell r="D5" t="str">
            <v>NAC</v>
          </cell>
          <cell r="E5">
            <v>0.0012642939814814815</v>
          </cell>
          <cell r="F5">
            <v>0.0008376388888888887</v>
          </cell>
          <cell r="G5">
            <v>0.0021019328703703703</v>
          </cell>
          <cell r="H5" t="str">
            <v>S10</v>
          </cell>
          <cell r="O5">
            <v>100</v>
          </cell>
          <cell r="T5">
            <v>176.14600000000002</v>
          </cell>
          <cell r="U5">
            <v>2.730499999999992</v>
          </cell>
          <cell r="V5">
            <v>100</v>
          </cell>
          <cell r="W5">
            <v>0</v>
          </cell>
          <cell r="X5">
            <v>-5</v>
          </cell>
          <cell r="Y5">
            <v>2</v>
          </cell>
          <cell r="Z5">
            <v>3</v>
          </cell>
          <cell r="AA5">
            <v>1</v>
          </cell>
          <cell r="AB5">
            <v>0</v>
          </cell>
          <cell r="AC5">
            <v>100</v>
          </cell>
          <cell r="AD5">
            <v>95</v>
          </cell>
          <cell r="AF5" t="str">
            <v>SND</v>
          </cell>
          <cell r="AG5">
            <v>0.0012143287037037038</v>
          </cell>
          <cell r="AH5">
            <v>0.0008423611111111111</v>
          </cell>
          <cell r="AI5">
            <v>0.002056689814814815</v>
          </cell>
        </row>
        <row r="6">
          <cell r="C6" t="str">
            <v>leon bogers</v>
          </cell>
          <cell r="D6" t="str">
            <v>-</v>
          </cell>
          <cell r="E6">
            <v>0.001313715277777778</v>
          </cell>
          <cell r="F6">
            <v>0.0008639351851851851</v>
          </cell>
          <cell r="G6">
            <v>0.0021776504629629633</v>
          </cell>
          <cell r="H6" t="str">
            <v>S10</v>
          </cell>
          <cell r="Y6" t="str">
            <v>n/a</v>
          </cell>
          <cell r="Z6" t="str">
            <v>n/a</v>
          </cell>
          <cell r="AA6" t="str">
            <v/>
          </cell>
          <cell r="AB6">
            <v>0</v>
          </cell>
          <cell r="AC6">
            <v>0</v>
          </cell>
          <cell r="AD6">
            <v>0</v>
          </cell>
          <cell r="AF6" t="str">
            <v>NAC</v>
          </cell>
          <cell r="AG6">
            <v>0.0012158101851851852</v>
          </cell>
          <cell r="AH6">
            <v>0.0008229166666666667</v>
          </cell>
          <cell r="AI6">
            <v>0.002038726851851852</v>
          </cell>
        </row>
        <row r="7">
          <cell r="C7" t="str">
            <v>john balazo</v>
          </cell>
          <cell r="D7" t="str">
            <v>-</v>
          </cell>
          <cell r="E7">
            <v>0.0013750000000000001</v>
          </cell>
          <cell r="F7">
            <v>0.0008160648148148149</v>
          </cell>
          <cell r="G7">
            <v>0.002191064814814815</v>
          </cell>
          <cell r="H7" t="str">
            <v>S5</v>
          </cell>
          <cell r="T7" t="str">
            <v/>
          </cell>
          <cell r="Y7" t="str">
            <v>n/a</v>
          </cell>
          <cell r="Z7" t="str">
            <v>n/a</v>
          </cell>
          <cell r="AA7" t="str">
            <v/>
          </cell>
          <cell r="AB7">
            <v>0</v>
          </cell>
          <cell r="AC7">
            <v>0</v>
          </cell>
          <cell r="AD7">
            <v>0</v>
          </cell>
          <cell r="AF7" t="str">
            <v>NBC</v>
          </cell>
          <cell r="AG7">
            <v>0.0012217361111111112</v>
          </cell>
          <cell r="AH7">
            <v>0.0008359259259259258</v>
          </cell>
          <cell r="AI7">
            <v>0.0020576620370370367</v>
          </cell>
        </row>
        <row r="8">
          <cell r="C8" t="str">
            <v>ibrahim rafei</v>
          </cell>
          <cell r="D8" t="str">
            <v>SNB</v>
          </cell>
          <cell r="E8">
            <v>0.0013236805555555554</v>
          </cell>
          <cell r="F8">
            <v>0.0008775578703703702</v>
          </cell>
          <cell r="G8">
            <v>0.0022012384259259255</v>
          </cell>
          <cell r="H8" t="str">
            <v>S10</v>
          </cell>
          <cell r="R8">
            <v>100</v>
          </cell>
          <cell r="T8">
            <v>180.67199999999997</v>
          </cell>
          <cell r="U8">
            <v>4.757499999999993</v>
          </cell>
          <cell r="V8">
            <v>100</v>
          </cell>
          <cell r="W8">
            <v>0</v>
          </cell>
          <cell r="X8">
            <v>-10</v>
          </cell>
          <cell r="Y8">
            <v>1</v>
          </cell>
          <cell r="Z8">
            <v>2</v>
          </cell>
          <cell r="AA8">
            <v>1</v>
          </cell>
          <cell r="AB8">
            <v>0</v>
          </cell>
          <cell r="AC8">
            <v>100</v>
          </cell>
          <cell r="AD8">
            <v>90</v>
          </cell>
          <cell r="AF8" t="str">
            <v>ABMOD</v>
          </cell>
          <cell r="AI8">
            <v>0</v>
          </cell>
        </row>
        <row r="9">
          <cell r="C9" t="str">
            <v>tim edwards</v>
          </cell>
          <cell r="D9" t="str">
            <v>SND</v>
          </cell>
          <cell r="E9">
            <v>0.0013163888888888889</v>
          </cell>
          <cell r="F9">
            <v>0.0008848726851851853</v>
          </cell>
          <cell r="G9">
            <v>0.0022012615740740742</v>
          </cell>
          <cell r="H9" t="str">
            <v>S10</v>
          </cell>
          <cell r="P9">
            <v>100</v>
          </cell>
          <cell r="T9">
            <v>177.698</v>
          </cell>
          <cell r="U9">
            <v>6.245500000000007</v>
          </cell>
          <cell r="V9">
            <v>100</v>
          </cell>
          <cell r="W9">
            <v>-40</v>
          </cell>
          <cell r="X9">
            <v>-10</v>
          </cell>
          <cell r="Y9">
            <v>3</v>
          </cell>
          <cell r="Z9">
            <v>6</v>
          </cell>
          <cell r="AA9">
            <v>1</v>
          </cell>
          <cell r="AB9">
            <v>2</v>
          </cell>
          <cell r="AC9">
            <v>60</v>
          </cell>
          <cell r="AD9">
            <v>50</v>
          </cell>
          <cell r="AF9" t="str">
            <v>CDMOD</v>
          </cell>
          <cell r="AI9">
            <v>0</v>
          </cell>
        </row>
        <row r="10">
          <cell r="C10" t="str">
            <v>john reid</v>
          </cell>
          <cell r="D10" t="str">
            <v>-</v>
          </cell>
          <cell r="E10">
            <v>0.0013347453703703705</v>
          </cell>
          <cell r="F10">
            <v>0.0008791435185185186</v>
          </cell>
          <cell r="G10">
            <v>0.002213888888888889</v>
          </cell>
          <cell r="H10" t="str">
            <v>S10</v>
          </cell>
          <cell r="T10" t="str">
            <v/>
          </cell>
          <cell r="Y10" t="str">
            <v>n/a</v>
          </cell>
          <cell r="Z10" t="str">
            <v>n/a</v>
          </cell>
          <cell r="AA10" t="str">
            <v/>
          </cell>
          <cell r="AB10">
            <v>0</v>
          </cell>
          <cell r="AC10">
            <v>0</v>
          </cell>
          <cell r="AD10">
            <v>0</v>
          </cell>
          <cell r="AF10" t="str">
            <v>SMOD</v>
          </cell>
          <cell r="AG10">
            <v>0.0011281828703703703</v>
          </cell>
          <cell r="AH10">
            <v>0.0007734374999999999</v>
          </cell>
          <cell r="AI10">
            <v>0.0019016203703703701</v>
          </cell>
        </row>
        <row r="11">
          <cell r="C11" t="str">
            <v>jarrah pitt</v>
          </cell>
          <cell r="D11" t="str">
            <v>-</v>
          </cell>
          <cell r="E11">
            <v>0.0013829629629629628</v>
          </cell>
          <cell r="F11">
            <v>0.0009158680555555556</v>
          </cell>
          <cell r="G11">
            <v>0.0022988310185185186</v>
          </cell>
          <cell r="H11" t="str">
            <v>S10</v>
          </cell>
          <cell r="T11" t="str">
            <v/>
          </cell>
          <cell r="Y11" t="str">
            <v>n/a</v>
          </cell>
          <cell r="Z11" t="str">
            <v>n/a</v>
          </cell>
          <cell r="AA11" t="str">
            <v/>
          </cell>
          <cell r="AB11">
            <v>0</v>
          </cell>
          <cell r="AC11">
            <v>0</v>
          </cell>
          <cell r="AD11">
            <v>0</v>
          </cell>
          <cell r="AF11" t="str">
            <v>RES</v>
          </cell>
          <cell r="AG11">
            <v>0.001110150462962963</v>
          </cell>
          <cell r="AH11">
            <v>0.0007670833333333333</v>
          </cell>
          <cell r="AI11">
            <v>0.0018772337962962961</v>
          </cell>
        </row>
        <row r="12">
          <cell r="C12" t="str">
            <v>steve williamsz</v>
          </cell>
          <cell r="D12" t="str">
            <v>SNB</v>
          </cell>
          <cell r="E12">
            <v>0.0014356944444444445</v>
          </cell>
          <cell r="F12">
            <v>0.0008711574074074074</v>
          </cell>
          <cell r="G12">
            <v>0.002306851851851852</v>
          </cell>
          <cell r="H12" t="str">
            <v>S6</v>
          </cell>
          <cell r="R12">
            <v>75</v>
          </cell>
          <cell r="T12">
            <v>180.67199999999997</v>
          </cell>
          <cell r="U12">
            <v>9.320000000000022</v>
          </cell>
          <cell r="V12">
            <v>75</v>
          </cell>
          <cell r="W12">
            <v>0</v>
          </cell>
          <cell r="X12">
            <v>-10</v>
          </cell>
          <cell r="Y12">
            <v>1</v>
          </cell>
          <cell r="Z12">
            <v>2</v>
          </cell>
          <cell r="AA12">
            <v>2</v>
          </cell>
          <cell r="AB12">
            <v>0</v>
          </cell>
          <cell r="AC12">
            <v>75</v>
          </cell>
          <cell r="AD12">
            <v>65</v>
          </cell>
          <cell r="AF12" t="str">
            <v>OPN</v>
          </cell>
          <cell r="AG12">
            <v>0.0011213194444444445</v>
          </cell>
          <cell r="AH12">
            <v>0.0007424652777777778</v>
          </cell>
          <cell r="AI12">
            <v>0.0018637847222222222</v>
          </cell>
        </row>
        <row r="13">
          <cell r="C13" t="str">
            <v>ray monik</v>
          </cell>
          <cell r="D13" t="str">
            <v>-</v>
          </cell>
          <cell r="E13">
            <v>0.001480462962962963</v>
          </cell>
          <cell r="F13">
            <v>0.0008539004629629629</v>
          </cell>
          <cell r="G13">
            <v>0.002334363425925926</v>
          </cell>
          <cell r="H13" t="str">
            <v>S6</v>
          </cell>
          <cell r="T13" t="str">
            <v/>
          </cell>
          <cell r="Y13" t="str">
            <v>n/a</v>
          </cell>
          <cell r="Z13" t="str">
            <v>n/a</v>
          </cell>
          <cell r="AA13" t="str">
            <v/>
          </cell>
          <cell r="AB13">
            <v>0</v>
          </cell>
          <cell r="AC13">
            <v>0</v>
          </cell>
          <cell r="AD13">
            <v>0</v>
          </cell>
        </row>
        <row r="14">
          <cell r="C14" t="str">
            <v>gareth pedley</v>
          </cell>
          <cell r="D14" t="str">
            <v>SNB</v>
          </cell>
          <cell r="E14">
            <v>0.0014588425925925925</v>
          </cell>
          <cell r="F14">
            <v>0.0008823148148148148</v>
          </cell>
          <cell r="G14">
            <v>0.0023411574074074072</v>
          </cell>
          <cell r="H14" t="str">
            <v>S8</v>
          </cell>
          <cell r="R14">
            <v>60</v>
          </cell>
          <cell r="T14">
            <v>180.67199999999997</v>
          </cell>
          <cell r="U14">
            <v>10.802000000000007</v>
          </cell>
          <cell r="V14">
            <v>60</v>
          </cell>
          <cell r="W14">
            <v>0</v>
          </cell>
          <cell r="X14">
            <v>-10</v>
          </cell>
          <cell r="Y14">
            <v>1</v>
          </cell>
          <cell r="Z14">
            <v>2</v>
          </cell>
          <cell r="AA14">
            <v>3</v>
          </cell>
          <cell r="AB14">
            <v>0</v>
          </cell>
          <cell r="AC14">
            <v>60</v>
          </cell>
          <cell r="AD14">
            <v>50</v>
          </cell>
        </row>
        <row r="15">
          <cell r="C15" t="str">
            <v>daniel white</v>
          </cell>
          <cell r="D15" t="str">
            <v>ABMOD</v>
          </cell>
          <cell r="E15">
            <v>0.001547928240740741</v>
          </cell>
          <cell r="F15">
            <v>0.0008464120370370371</v>
          </cell>
          <cell r="G15">
            <v>0.0023943402777777782</v>
          </cell>
          <cell r="H15" t="str">
            <v>S1</v>
          </cell>
          <cell r="M15">
            <v>100</v>
          </cell>
          <cell r="T15" t="str">
            <v>NotSet</v>
          </cell>
          <cell r="V15">
            <v>100</v>
          </cell>
          <cell r="W15">
            <v>-60</v>
          </cell>
          <cell r="X15">
            <v>0</v>
          </cell>
          <cell r="Y15">
            <v>4</v>
          </cell>
          <cell r="Z15">
            <v>7</v>
          </cell>
          <cell r="AA15">
            <v>1</v>
          </cell>
          <cell r="AB15">
            <v>5</v>
          </cell>
          <cell r="AC15">
            <v>15</v>
          </cell>
          <cell r="AD15">
            <v>40</v>
          </cell>
        </row>
        <row r="16">
          <cell r="C16" t="str">
            <v>allison rafei</v>
          </cell>
          <cell r="D16" t="str">
            <v>SNB</v>
          </cell>
          <cell r="E16">
            <v>0.0015082638888888888</v>
          </cell>
          <cell r="F16">
            <v>0.0008876388888888889</v>
          </cell>
          <cell r="G16">
            <v>0.0023959027777777776</v>
          </cell>
          <cell r="H16" t="str">
            <v>S9</v>
          </cell>
          <cell r="R16">
            <v>45</v>
          </cell>
          <cell r="T16">
            <v>180.67199999999997</v>
          </cell>
          <cell r="U16">
            <v>13.167000000000002</v>
          </cell>
          <cell r="V16">
            <v>45</v>
          </cell>
          <cell r="W16">
            <v>0</v>
          </cell>
          <cell r="X16">
            <v>-10</v>
          </cell>
          <cell r="Y16">
            <v>1</v>
          </cell>
          <cell r="Z16">
            <v>2</v>
          </cell>
          <cell r="AA16">
            <v>4</v>
          </cell>
          <cell r="AB16">
            <v>0</v>
          </cell>
          <cell r="AC16">
            <v>45</v>
          </cell>
          <cell r="AD16">
            <v>35</v>
          </cell>
        </row>
        <row r="17">
          <cell r="C17" t="str">
            <v>simeon ouzas</v>
          </cell>
          <cell r="D17" t="str">
            <v>SNB</v>
          </cell>
          <cell r="E17">
            <v>0.001606388888888889</v>
          </cell>
          <cell r="F17">
            <v>0.0008683796296296295</v>
          </cell>
          <cell r="G17">
            <v>0.0024747685185185185</v>
          </cell>
          <cell r="H17" t="str">
            <v>S8</v>
          </cell>
          <cell r="R17">
            <v>30</v>
          </cell>
          <cell r="T17">
            <v>180.67199999999997</v>
          </cell>
          <cell r="U17">
            <v>16.574000000000012</v>
          </cell>
          <cell r="V17">
            <v>30</v>
          </cell>
          <cell r="W17">
            <v>0</v>
          </cell>
          <cell r="X17">
            <v>-10</v>
          </cell>
          <cell r="Y17">
            <v>1</v>
          </cell>
          <cell r="Z17">
            <v>2</v>
          </cell>
          <cell r="AA17">
            <v>5</v>
          </cell>
          <cell r="AB17">
            <v>0</v>
          </cell>
          <cell r="AC17">
            <v>30</v>
          </cell>
          <cell r="AD17">
            <v>20</v>
          </cell>
        </row>
        <row r="18">
          <cell r="C18" t="str">
            <v>george vellis</v>
          </cell>
          <cell r="D18" t="str">
            <v>NAC</v>
          </cell>
          <cell r="E18">
            <v>0.001599849537037037</v>
          </cell>
          <cell r="F18">
            <v>0.0009337615740740739</v>
          </cell>
          <cell r="G18">
            <v>0.002533611111111111</v>
          </cell>
          <cell r="H18" t="str">
            <v>S8</v>
          </cell>
          <cell r="O18">
            <v>75</v>
          </cell>
          <cell r="T18">
            <v>176.14600000000002</v>
          </cell>
          <cell r="U18">
            <v>21.37899999999999</v>
          </cell>
          <cell r="V18">
            <v>75</v>
          </cell>
          <cell r="W18">
            <v>-60</v>
          </cell>
          <cell r="X18">
            <v>-10</v>
          </cell>
          <cell r="Y18">
            <v>2</v>
          </cell>
          <cell r="Z18">
            <v>3</v>
          </cell>
          <cell r="AA18">
            <v>2</v>
          </cell>
          <cell r="AB18">
            <v>5</v>
          </cell>
          <cell r="AC18">
            <v>15</v>
          </cell>
          <cell r="AD18">
            <v>5</v>
          </cell>
        </row>
        <row r="19">
          <cell r="C19" t="str">
            <v>peter dannock</v>
          </cell>
          <cell r="D19" t="str">
            <v>NBC</v>
          </cell>
          <cell r="E19">
            <v>0.0014496412037037036</v>
          </cell>
          <cell r="F19" t="str">
            <v>-</v>
          </cell>
          <cell r="G19" t="str">
            <v>-</v>
          </cell>
          <cell r="H19" t="str">
            <v>S4</v>
          </cell>
          <cell r="N19">
            <v>100</v>
          </cell>
          <cell r="T19">
            <v>105.558</v>
          </cell>
          <cell r="U19">
            <v>19.69099999999999</v>
          </cell>
          <cell r="V19">
            <v>100</v>
          </cell>
          <cell r="W19">
            <v>-85</v>
          </cell>
          <cell r="X19">
            <v>-10</v>
          </cell>
          <cell r="Y19">
            <v>2</v>
          </cell>
          <cell r="Z19">
            <v>4</v>
          </cell>
          <cell r="AA19">
            <v>1</v>
          </cell>
          <cell r="AB19">
            <v>5</v>
          </cell>
          <cell r="AC19">
            <v>15</v>
          </cell>
          <cell r="AD19">
            <v>5</v>
          </cell>
        </row>
        <row r="20">
          <cell r="C20" t="str">
            <v>gavin newman</v>
          </cell>
          <cell r="D20" t="str">
            <v>ABMOD</v>
          </cell>
          <cell r="E20">
            <v>0.0014955555555555555</v>
          </cell>
          <cell r="F20" t="str">
            <v>-</v>
          </cell>
          <cell r="G20" t="str">
            <v>-</v>
          </cell>
          <cell r="H20" t="str">
            <v>S1</v>
          </cell>
          <cell r="M20">
            <v>75</v>
          </cell>
          <cell r="T20" t="str">
            <v>NotSet</v>
          </cell>
          <cell r="V20">
            <v>75</v>
          </cell>
          <cell r="W20">
            <v>-45</v>
          </cell>
          <cell r="X20">
            <v>0</v>
          </cell>
          <cell r="Y20">
            <v>4</v>
          </cell>
          <cell r="Z20">
            <v>7</v>
          </cell>
          <cell r="AA20">
            <v>2</v>
          </cell>
          <cell r="AB20">
            <v>9</v>
          </cell>
          <cell r="AC20">
            <v>15</v>
          </cell>
          <cell r="AD20">
            <v>30</v>
          </cell>
        </row>
        <row r="21">
          <cell r="H21" t="str">
            <v># Entrants</v>
          </cell>
          <cell r="I21">
            <v>1</v>
          </cell>
          <cell r="J21">
            <v>0</v>
          </cell>
          <cell r="K21">
            <v>0</v>
          </cell>
          <cell r="L21">
            <v>1</v>
          </cell>
          <cell r="M21">
            <v>2</v>
          </cell>
          <cell r="N21">
            <v>1</v>
          </cell>
          <cell r="O21">
            <v>2</v>
          </cell>
          <cell r="P21">
            <v>1</v>
          </cell>
          <cell r="Q21">
            <v>0</v>
          </cell>
          <cell r="R21">
            <v>5</v>
          </cell>
          <cell r="S21">
            <v>0</v>
          </cell>
          <cell r="AD21">
            <v>19</v>
          </cell>
        </row>
      </sheetData>
      <sheetData sheetId="3">
        <row r="2">
          <cell r="C2" t="str">
            <v>dean watchorn</v>
          </cell>
          <cell r="D2" t="str">
            <v>SMOD</v>
          </cell>
          <cell r="E2" t="str">
            <v>1:38.5654</v>
          </cell>
          <cell r="G2" t="str">
            <v>S10</v>
          </cell>
          <cell r="H2" t="str">
            <v/>
          </cell>
          <cell r="I2" t="str">
            <v/>
          </cell>
          <cell r="J2">
            <v>100</v>
          </cell>
          <cell r="K2" t="str">
            <v/>
          </cell>
          <cell r="L2" t="str">
            <v/>
          </cell>
          <cell r="M2" t="str">
            <v/>
          </cell>
          <cell r="N2" t="str">
            <v/>
          </cell>
          <cell r="O2" t="str">
            <v/>
          </cell>
          <cell r="P2" t="str">
            <v/>
          </cell>
          <cell r="Q2" t="str">
            <v/>
          </cell>
          <cell r="R2" t="str">
            <v/>
          </cell>
          <cell r="S2">
            <v>100</v>
          </cell>
          <cell r="T2">
            <v>0</v>
          </cell>
          <cell r="U2">
            <v>97.475</v>
          </cell>
          <cell r="V2">
            <v>1.0900000000000034</v>
          </cell>
          <cell r="W2">
            <v>0</v>
          </cell>
          <cell r="X2">
            <v>5</v>
          </cell>
          <cell r="Y2">
            <v>9</v>
          </cell>
          <cell r="Z2">
            <v>1</v>
          </cell>
          <cell r="AA2">
            <v>0</v>
          </cell>
          <cell r="AB2">
            <v>100</v>
          </cell>
          <cell r="AC2">
            <v>100</v>
          </cell>
          <cell r="AE2" t="str">
            <v>SNA</v>
          </cell>
          <cell r="AF2" t="str">
            <v>Robert Downes</v>
          </cell>
          <cell r="AG2">
            <v>0.0012429050925925925</v>
          </cell>
        </row>
        <row r="3">
          <cell r="C3" t="str">
            <v>alan conrad</v>
          </cell>
          <cell r="D3" t="str">
            <v>CDMOD</v>
          </cell>
          <cell r="E3" t="str">
            <v>1:40.7676</v>
          </cell>
          <cell r="F3" t="str">
            <v>New lap record</v>
          </cell>
          <cell r="G3" t="str">
            <v>S6</v>
          </cell>
          <cell r="H3" t="str">
            <v/>
          </cell>
          <cell r="I3" t="str">
            <v/>
          </cell>
          <cell r="J3" t="str">
            <v/>
          </cell>
          <cell r="K3">
            <v>100</v>
          </cell>
          <cell r="L3" t="str">
            <v/>
          </cell>
          <cell r="M3" t="str">
            <v/>
          </cell>
          <cell r="N3" t="str">
            <v/>
          </cell>
          <cell r="O3" t="str">
            <v/>
          </cell>
          <cell r="P3" t="str">
            <v/>
          </cell>
          <cell r="Q3" t="str">
            <v/>
          </cell>
          <cell r="R3" t="str">
            <v/>
          </cell>
          <cell r="S3">
            <v>100</v>
          </cell>
          <cell r="T3">
            <v>0</v>
          </cell>
          <cell r="U3">
            <v>109.949</v>
          </cell>
          <cell r="V3">
            <v>-9.180999999999997</v>
          </cell>
          <cell r="W3">
            <v>10</v>
          </cell>
          <cell r="X3">
            <v>4</v>
          </cell>
          <cell r="Y3">
            <v>8</v>
          </cell>
          <cell r="Z3">
            <v>1</v>
          </cell>
          <cell r="AA3">
            <v>0</v>
          </cell>
          <cell r="AB3">
            <v>100</v>
          </cell>
          <cell r="AC3">
            <v>110</v>
          </cell>
          <cell r="AE3" t="str">
            <v>SNB</v>
          </cell>
          <cell r="AF3" t="str">
            <v>Dean Hasnat</v>
          </cell>
          <cell r="AG3">
            <v>0.001238275462962963</v>
          </cell>
        </row>
        <row r="4">
          <cell r="C4" t="str">
            <v>tim meaden</v>
          </cell>
          <cell r="D4" t="str">
            <v>RES</v>
          </cell>
          <cell r="E4" t="str">
            <v>1:41.3041</v>
          </cell>
          <cell r="G4" t="str">
            <v>S13</v>
          </cell>
          <cell r="H4" t="str">
            <v/>
          </cell>
          <cell r="I4">
            <v>100</v>
          </cell>
          <cell r="J4" t="str">
            <v/>
          </cell>
          <cell r="K4" t="str">
            <v/>
          </cell>
          <cell r="L4" t="str">
            <v/>
          </cell>
          <cell r="M4" t="str">
            <v/>
          </cell>
          <cell r="N4" t="str">
            <v/>
          </cell>
          <cell r="O4" t="str">
            <v/>
          </cell>
          <cell r="P4" t="str">
            <v/>
          </cell>
          <cell r="Q4" t="str">
            <v/>
          </cell>
          <cell r="R4" t="str">
            <v/>
          </cell>
          <cell r="S4">
            <v>100</v>
          </cell>
          <cell r="T4">
            <v>-40</v>
          </cell>
          <cell r="U4">
            <v>95.917</v>
          </cell>
          <cell r="V4">
            <v>5.387000000000015</v>
          </cell>
          <cell r="W4">
            <v>-10</v>
          </cell>
          <cell r="X4">
            <v>6</v>
          </cell>
          <cell r="Y4">
            <v>10</v>
          </cell>
          <cell r="Z4">
            <v>1</v>
          </cell>
          <cell r="AA4">
            <v>2</v>
          </cell>
          <cell r="AB4">
            <v>60</v>
          </cell>
          <cell r="AC4">
            <v>50</v>
          </cell>
          <cell r="AE4" t="str">
            <v>SNC</v>
          </cell>
          <cell r="AF4" t="str">
            <v>Randy Stagno Navarra</v>
          </cell>
          <cell r="AG4">
            <v>0.0011998611111111112</v>
          </cell>
        </row>
        <row r="5">
          <cell r="C5" t="str">
            <v>randy stagno navarra</v>
          </cell>
          <cell r="D5" t="str">
            <v>SND</v>
          </cell>
          <cell r="E5" t="str">
            <v>1:43.0296</v>
          </cell>
          <cell r="F5" t="str">
            <v>New lap record</v>
          </cell>
          <cell r="G5" t="str">
            <v>S6</v>
          </cell>
          <cell r="H5" t="str">
            <v/>
          </cell>
          <cell r="I5" t="str">
            <v/>
          </cell>
          <cell r="J5" t="str">
            <v/>
          </cell>
          <cell r="K5" t="str">
            <v/>
          </cell>
          <cell r="L5" t="str">
            <v/>
          </cell>
          <cell r="M5" t="str">
            <v/>
          </cell>
          <cell r="N5" t="str">
            <v/>
          </cell>
          <cell r="O5">
            <v>100</v>
          </cell>
          <cell r="P5" t="str">
            <v/>
          </cell>
          <cell r="Q5" t="str">
            <v/>
          </cell>
          <cell r="R5" t="str">
            <v/>
          </cell>
          <cell r="S5">
            <v>100</v>
          </cell>
          <cell r="T5">
            <v>0</v>
          </cell>
          <cell r="U5">
            <v>104.918</v>
          </cell>
          <cell r="V5">
            <v>-1.8880000000000052</v>
          </cell>
          <cell r="W5">
            <v>10</v>
          </cell>
          <cell r="X5">
            <v>3</v>
          </cell>
          <cell r="Y5">
            <v>6</v>
          </cell>
          <cell r="Z5">
            <v>1</v>
          </cell>
          <cell r="AA5">
            <v>0</v>
          </cell>
          <cell r="AB5">
            <v>100</v>
          </cell>
          <cell r="AC5">
            <v>110</v>
          </cell>
          <cell r="AE5" t="str">
            <v>SND</v>
          </cell>
          <cell r="AF5" t="str">
            <v>Randy Stagno Navarra</v>
          </cell>
          <cell r="AG5">
            <v>0.0012143287037037038</v>
          </cell>
        </row>
        <row r="6">
          <cell r="C6" t="str">
            <v>noel heritage</v>
          </cell>
          <cell r="D6" t="str">
            <v>NBC</v>
          </cell>
          <cell r="E6" t="str">
            <v>1:45.6377</v>
          </cell>
          <cell r="G6" t="str">
            <v>S6</v>
          </cell>
          <cell r="H6" t="str">
            <v/>
          </cell>
          <cell r="I6" t="str">
            <v/>
          </cell>
          <cell r="J6" t="str">
            <v/>
          </cell>
          <cell r="K6" t="str">
            <v/>
          </cell>
          <cell r="L6" t="str">
            <v/>
          </cell>
          <cell r="M6">
            <v>100</v>
          </cell>
          <cell r="N6" t="str">
            <v/>
          </cell>
          <cell r="O6" t="str">
            <v/>
          </cell>
          <cell r="P6" t="str">
            <v/>
          </cell>
          <cell r="Q6" t="str">
            <v/>
          </cell>
          <cell r="R6" t="str">
            <v/>
          </cell>
          <cell r="S6">
            <v>100</v>
          </cell>
          <cell r="T6">
            <v>0</v>
          </cell>
          <cell r="U6">
            <v>105.558</v>
          </cell>
          <cell r="V6">
            <v>0.0799999999999983</v>
          </cell>
          <cell r="W6">
            <v>5</v>
          </cell>
          <cell r="X6">
            <v>2</v>
          </cell>
          <cell r="Y6">
            <v>4</v>
          </cell>
          <cell r="Z6">
            <v>1</v>
          </cell>
          <cell r="AA6">
            <v>0</v>
          </cell>
          <cell r="AB6">
            <v>100</v>
          </cell>
          <cell r="AC6">
            <v>105</v>
          </cell>
          <cell r="AE6" t="str">
            <v>NAC</v>
          </cell>
          <cell r="AF6" t="str">
            <v>Tim Emery</v>
          </cell>
          <cell r="AG6">
            <v>0.0012158101851851852</v>
          </cell>
        </row>
        <row r="7">
          <cell r="C7" t="str">
            <v>robert downes</v>
          </cell>
          <cell r="D7" t="str">
            <v>NAC</v>
          </cell>
          <cell r="E7" t="str">
            <v>1:45.9767</v>
          </cell>
          <cell r="G7" t="str">
            <v>S11</v>
          </cell>
          <cell r="H7" t="str">
            <v/>
          </cell>
          <cell r="I7" t="str">
            <v/>
          </cell>
          <cell r="J7" t="str">
            <v/>
          </cell>
          <cell r="K7" t="str">
            <v/>
          </cell>
          <cell r="L7" t="str">
            <v/>
          </cell>
          <cell r="M7" t="str">
            <v/>
          </cell>
          <cell r="N7">
            <v>100</v>
          </cell>
          <cell r="O7" t="str">
            <v/>
          </cell>
          <cell r="P7" t="str">
            <v/>
          </cell>
          <cell r="Q7" t="str">
            <v/>
          </cell>
          <cell r="R7" t="str">
            <v/>
          </cell>
          <cell r="S7">
            <v>100</v>
          </cell>
          <cell r="T7">
            <v>0</v>
          </cell>
          <cell r="U7">
            <v>105.046</v>
          </cell>
          <cell r="V7">
            <v>0.9310000000000116</v>
          </cell>
          <cell r="W7">
            <v>5</v>
          </cell>
          <cell r="X7">
            <v>2</v>
          </cell>
          <cell r="Y7">
            <v>3</v>
          </cell>
          <cell r="Z7">
            <v>1</v>
          </cell>
          <cell r="AA7">
            <v>0</v>
          </cell>
          <cell r="AB7">
            <v>100</v>
          </cell>
          <cell r="AC7">
            <v>105</v>
          </cell>
          <cell r="AE7" t="str">
            <v>NBC</v>
          </cell>
          <cell r="AF7" t="str">
            <v>Noel Heritage</v>
          </cell>
          <cell r="AG7">
            <v>0.0012217361111111112</v>
          </cell>
        </row>
        <row r="8">
          <cell r="C8" t="str">
            <v>andrew tate</v>
          </cell>
          <cell r="D8" t="str">
            <v>-</v>
          </cell>
          <cell r="E8" t="str">
            <v>1:46.3170</v>
          </cell>
          <cell r="G8" t="str">
            <v>S8</v>
          </cell>
          <cell r="H8" t="str">
            <v/>
          </cell>
          <cell r="I8" t="str">
            <v/>
          </cell>
          <cell r="J8" t="str">
            <v/>
          </cell>
          <cell r="K8" t="str">
            <v/>
          </cell>
          <cell r="L8" t="str">
            <v/>
          </cell>
          <cell r="M8" t="str">
            <v/>
          </cell>
          <cell r="N8" t="str">
            <v/>
          </cell>
          <cell r="O8" t="str">
            <v/>
          </cell>
          <cell r="P8" t="str">
            <v/>
          </cell>
          <cell r="Q8" t="str">
            <v/>
          </cell>
          <cell r="R8" t="str">
            <v/>
          </cell>
          <cell r="S8">
            <v>0</v>
          </cell>
          <cell r="T8">
            <v>0</v>
          </cell>
          <cell r="U8" t="str">
            <v/>
          </cell>
          <cell r="X8" t="str">
            <v>n/a</v>
          </cell>
          <cell r="Y8" t="str">
            <v>n/a</v>
          </cell>
          <cell r="Z8" t="str">
            <v/>
          </cell>
          <cell r="AA8">
            <v>0</v>
          </cell>
          <cell r="AB8">
            <v>0</v>
          </cell>
          <cell r="AC8">
            <v>0</v>
          </cell>
          <cell r="AE8" t="str">
            <v>ABMOD</v>
          </cell>
          <cell r="AF8" t="str">
            <v>Leon Bogers</v>
          </cell>
          <cell r="AG8">
            <v>0.001313715277777778</v>
          </cell>
        </row>
        <row r="9">
          <cell r="C9" t="str">
            <v>gareth pedley</v>
          </cell>
          <cell r="D9" t="str">
            <v>SNB</v>
          </cell>
          <cell r="E9" t="str">
            <v>1:47.6268</v>
          </cell>
          <cell r="G9" t="str">
            <v>S22</v>
          </cell>
          <cell r="H9" t="str">
            <v/>
          </cell>
          <cell r="I9" t="str">
            <v/>
          </cell>
          <cell r="J9" t="str">
            <v/>
          </cell>
          <cell r="K9" t="str">
            <v/>
          </cell>
          <cell r="L9" t="str">
            <v/>
          </cell>
          <cell r="M9" t="str">
            <v/>
          </cell>
          <cell r="N9" t="str">
            <v/>
          </cell>
          <cell r="O9" t="str">
            <v/>
          </cell>
          <cell r="P9" t="str">
            <v/>
          </cell>
          <cell r="Q9">
            <v>100</v>
          </cell>
          <cell r="R9" t="str">
            <v/>
          </cell>
          <cell r="S9">
            <v>100</v>
          </cell>
          <cell r="T9">
            <v>0</v>
          </cell>
          <cell r="U9">
            <v>106.987</v>
          </cell>
          <cell r="V9">
            <v>0.6400000000000006</v>
          </cell>
          <cell r="W9">
            <v>5</v>
          </cell>
          <cell r="X9">
            <v>1</v>
          </cell>
          <cell r="Y9">
            <v>2</v>
          </cell>
          <cell r="Z9">
            <v>1</v>
          </cell>
          <cell r="AA9">
            <v>0</v>
          </cell>
          <cell r="AB9">
            <v>100</v>
          </cell>
          <cell r="AC9">
            <v>105</v>
          </cell>
          <cell r="AE9" t="str">
            <v>CDMOD</v>
          </cell>
          <cell r="AF9" t="str">
            <v>Alan Conrad</v>
          </cell>
          <cell r="AG9">
            <v>0.0012725578703703703</v>
          </cell>
        </row>
        <row r="10">
          <cell r="C10" t="str">
            <v>simeon ouzas</v>
          </cell>
          <cell r="D10" t="str">
            <v>SNB</v>
          </cell>
          <cell r="E10" t="str">
            <v>1:47.6290</v>
          </cell>
          <cell r="G10" t="str">
            <v>S10</v>
          </cell>
          <cell r="H10" t="str">
            <v/>
          </cell>
          <cell r="I10" t="str">
            <v/>
          </cell>
          <cell r="J10" t="str">
            <v/>
          </cell>
          <cell r="K10" t="str">
            <v/>
          </cell>
          <cell r="L10" t="str">
            <v/>
          </cell>
          <cell r="M10" t="str">
            <v/>
          </cell>
          <cell r="N10" t="str">
            <v/>
          </cell>
          <cell r="O10" t="str">
            <v/>
          </cell>
          <cell r="P10" t="str">
            <v/>
          </cell>
          <cell r="Q10">
            <v>75</v>
          </cell>
          <cell r="R10" t="str">
            <v/>
          </cell>
          <cell r="S10">
            <v>75</v>
          </cell>
          <cell r="T10">
            <v>0</v>
          </cell>
          <cell r="U10">
            <v>106.987</v>
          </cell>
          <cell r="V10">
            <v>0.6420000000000101</v>
          </cell>
          <cell r="W10">
            <v>5</v>
          </cell>
          <cell r="X10">
            <v>1</v>
          </cell>
          <cell r="Y10">
            <v>2</v>
          </cell>
          <cell r="Z10">
            <v>2</v>
          </cell>
          <cell r="AA10">
            <v>0</v>
          </cell>
          <cell r="AB10">
            <v>75</v>
          </cell>
          <cell r="AC10">
            <v>80</v>
          </cell>
          <cell r="AE10" t="str">
            <v>SMOD</v>
          </cell>
          <cell r="AF10" t="str">
            <v>Russell Garner</v>
          </cell>
          <cell r="AG10">
            <v>0.0011281828703703703</v>
          </cell>
        </row>
        <row r="11">
          <cell r="C11" t="str">
            <v>steve williamsz</v>
          </cell>
          <cell r="D11" t="str">
            <v>SNB</v>
          </cell>
          <cell r="E11" t="str">
            <v>1:47.7104</v>
          </cell>
          <cell r="G11" t="str">
            <v>S12</v>
          </cell>
          <cell r="H11" t="str">
            <v/>
          </cell>
          <cell r="I11" t="str">
            <v/>
          </cell>
          <cell r="J11" t="str">
            <v/>
          </cell>
          <cell r="K11" t="str">
            <v/>
          </cell>
          <cell r="L11" t="str">
            <v/>
          </cell>
          <cell r="M11" t="str">
            <v/>
          </cell>
          <cell r="N11" t="str">
            <v/>
          </cell>
          <cell r="O11" t="str">
            <v/>
          </cell>
          <cell r="P11" t="str">
            <v/>
          </cell>
          <cell r="Q11">
            <v>60</v>
          </cell>
          <cell r="R11" t="str">
            <v/>
          </cell>
          <cell r="S11">
            <v>60</v>
          </cell>
          <cell r="T11">
            <v>0</v>
          </cell>
          <cell r="U11">
            <v>106.987</v>
          </cell>
          <cell r="V11">
            <v>0.7230000000000132</v>
          </cell>
          <cell r="W11">
            <v>5</v>
          </cell>
          <cell r="X11">
            <v>1</v>
          </cell>
          <cell r="Y11">
            <v>2</v>
          </cell>
          <cell r="Z11">
            <v>3</v>
          </cell>
          <cell r="AA11">
            <v>0</v>
          </cell>
          <cell r="AB11">
            <v>60</v>
          </cell>
          <cell r="AC11">
            <v>65</v>
          </cell>
          <cell r="AE11" t="str">
            <v>RES</v>
          </cell>
          <cell r="AF11" t="str">
            <v>Paul Ledwith</v>
          </cell>
          <cell r="AG11">
            <v>0.001110150462962963</v>
          </cell>
        </row>
        <row r="12">
          <cell r="C12" t="str">
            <v>murray seymour</v>
          </cell>
          <cell r="D12" t="str">
            <v>NBC</v>
          </cell>
          <cell r="E12" t="str">
            <v>1:48.5739</v>
          </cell>
          <cell r="G12" t="str">
            <v>S20</v>
          </cell>
          <cell r="H12" t="str">
            <v/>
          </cell>
          <cell r="I12" t="str">
            <v/>
          </cell>
          <cell r="J12" t="str">
            <v/>
          </cell>
          <cell r="K12" t="str">
            <v/>
          </cell>
          <cell r="L12" t="str">
            <v/>
          </cell>
          <cell r="M12">
            <v>75</v>
          </cell>
          <cell r="N12" t="str">
            <v/>
          </cell>
          <cell r="O12" t="str">
            <v/>
          </cell>
          <cell r="P12" t="str">
            <v/>
          </cell>
          <cell r="Q12" t="str">
            <v/>
          </cell>
          <cell r="R12" t="str">
            <v/>
          </cell>
          <cell r="S12">
            <v>75</v>
          </cell>
          <cell r="T12">
            <v>-45</v>
          </cell>
          <cell r="U12">
            <v>105.558</v>
          </cell>
          <cell r="V12">
            <v>3.015999999999991</v>
          </cell>
          <cell r="W12">
            <v>-10</v>
          </cell>
          <cell r="X12">
            <v>2</v>
          </cell>
          <cell r="Y12">
            <v>4</v>
          </cell>
          <cell r="Z12">
            <v>2</v>
          </cell>
          <cell r="AA12">
            <v>3</v>
          </cell>
          <cell r="AB12">
            <v>30</v>
          </cell>
          <cell r="AC12">
            <v>20</v>
          </cell>
          <cell r="AE12" t="str">
            <v>OPN</v>
          </cell>
          <cell r="AF12" t="str">
            <v>David Wilken</v>
          </cell>
          <cell r="AG12">
            <v>0.0011213194444444445</v>
          </cell>
        </row>
        <row r="13">
          <cell r="C13" t="str">
            <v>john downes</v>
          </cell>
          <cell r="D13" t="str">
            <v>SNB</v>
          </cell>
          <cell r="E13" t="str">
            <v>1:50.3445</v>
          </cell>
          <cell r="G13" t="str">
            <v>S8</v>
          </cell>
          <cell r="H13" t="str">
            <v/>
          </cell>
          <cell r="I13" t="str">
            <v/>
          </cell>
          <cell r="J13" t="str">
            <v/>
          </cell>
          <cell r="K13" t="str">
            <v/>
          </cell>
          <cell r="L13" t="str">
            <v/>
          </cell>
          <cell r="M13" t="str">
            <v/>
          </cell>
          <cell r="N13" t="str">
            <v/>
          </cell>
          <cell r="O13" t="str">
            <v/>
          </cell>
          <cell r="P13" t="str">
            <v/>
          </cell>
          <cell r="Q13">
            <v>45</v>
          </cell>
          <cell r="R13" t="str">
            <v/>
          </cell>
          <cell r="S13">
            <v>45</v>
          </cell>
          <cell r="T13">
            <v>0</v>
          </cell>
          <cell r="U13">
            <v>106.987</v>
          </cell>
          <cell r="V13">
            <v>3.358000000000004</v>
          </cell>
          <cell r="W13">
            <v>-10</v>
          </cell>
          <cell r="X13">
            <v>1</v>
          </cell>
          <cell r="Y13">
            <v>2</v>
          </cell>
          <cell r="Z13">
            <v>4</v>
          </cell>
          <cell r="AA13">
            <v>0</v>
          </cell>
          <cell r="AB13">
            <v>45</v>
          </cell>
          <cell r="AC13">
            <v>35</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27"/>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4" sqref="A4"/>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228" t="s">
        <v>47</v>
      </c>
      <c r="B1" s="228"/>
      <c r="C1" s="228"/>
      <c r="D1" s="228"/>
      <c r="E1" s="228"/>
      <c r="F1" s="228"/>
      <c r="G1" s="228"/>
      <c r="H1" s="228"/>
      <c r="I1" s="228"/>
      <c r="J1" s="228"/>
      <c r="K1" s="228"/>
      <c r="L1" s="228"/>
      <c r="M1" s="228"/>
      <c r="N1" s="228"/>
      <c r="O1" s="228"/>
    </row>
    <row r="2" spans="1:17" s="27" customFormat="1" ht="119.25" customHeight="1" thickBot="1">
      <c r="A2" s="2" t="s">
        <v>0</v>
      </c>
      <c r="B2" s="70" t="s">
        <v>1</v>
      </c>
      <c r="C2" s="70"/>
      <c r="D2" s="2" t="s">
        <v>2</v>
      </c>
      <c r="E2" s="71" t="s">
        <v>68</v>
      </c>
      <c r="F2" s="72" t="s">
        <v>69</v>
      </c>
      <c r="G2" s="72" t="s">
        <v>70</v>
      </c>
      <c r="H2" s="72" t="s">
        <v>71</v>
      </c>
      <c r="I2" s="72" t="s">
        <v>72</v>
      </c>
      <c r="J2" s="72" t="s">
        <v>73</v>
      </c>
      <c r="K2" s="72" t="s">
        <v>78</v>
      </c>
      <c r="L2" s="72" t="s">
        <v>74</v>
      </c>
      <c r="M2" s="72" t="s">
        <v>75</v>
      </c>
      <c r="N2" s="72" t="s">
        <v>76</v>
      </c>
      <c r="O2" s="72" t="s">
        <v>77</v>
      </c>
      <c r="P2" s="26"/>
      <c r="Q2" s="26"/>
    </row>
    <row r="3" spans="1:16" s="5" customFormat="1" ht="12.75">
      <c r="A3" s="169">
        <v>1</v>
      </c>
      <c r="B3" s="216" t="s">
        <v>39</v>
      </c>
      <c r="C3" s="217" t="s">
        <v>40</v>
      </c>
      <c r="D3" s="218" t="s">
        <v>67</v>
      </c>
      <c r="E3" s="203">
        <f>SUM(F3:O3)</f>
        <v>310</v>
      </c>
      <c r="F3" s="219">
        <f>_xlfn.IFERROR(VLOOKUP($P3,'[1]Rd1 Broadford'!$C$2:$AC$17,27,0),0)</f>
        <v>100</v>
      </c>
      <c r="G3" s="220">
        <f>_xlfn.IFERROR(VLOOKUP($P3,'[1]Rd2 Winton'!$C$2:$AD$21,28,0),0)</f>
        <v>100</v>
      </c>
      <c r="H3" s="220">
        <f>_xlfn.IFERROR(VLOOKUP($P3,'[1]Rd3 Winton'!$C$2:$AC$13,27,0),0)</f>
        <v>110</v>
      </c>
      <c r="I3" s="221">
        <v>0</v>
      </c>
      <c r="J3" s="220">
        <v>0</v>
      </c>
      <c r="K3" s="220">
        <v>0</v>
      </c>
      <c r="L3" s="220">
        <v>0</v>
      </c>
      <c r="M3" s="221">
        <v>0</v>
      </c>
      <c r="N3" s="221">
        <v>0</v>
      </c>
      <c r="O3" s="222">
        <v>0</v>
      </c>
      <c r="P3" s="5" t="str">
        <f>CONCATENATE(LOWER(B3)," ",LOWER(C3))</f>
        <v>alan conrad</v>
      </c>
    </row>
    <row r="4" spans="1:16" s="5" customFormat="1" ht="12.75">
      <c r="A4" s="170">
        <v>2</v>
      </c>
      <c r="B4" s="201" t="s">
        <v>134</v>
      </c>
      <c r="C4" s="484" t="s">
        <v>135</v>
      </c>
      <c r="D4" s="223" t="s">
        <v>30</v>
      </c>
      <c r="E4" s="204">
        <f>SUM(F4:O4)</f>
        <v>300</v>
      </c>
      <c r="F4" s="485">
        <f>_xlfn.IFERROR(VLOOKUP($P4,'[1]Rd1 Broadford'!$C$2:$AC$17,27,0),0)</f>
        <v>100</v>
      </c>
      <c r="G4" s="483">
        <f>_xlfn.IFERROR(VLOOKUP($P4,'[1]Rd2 Winton'!$C$2:$AD$21,28,0),0)</f>
        <v>95</v>
      </c>
      <c r="H4" s="483">
        <f>_xlfn.IFERROR(VLOOKUP($P4,'[1]Rd3 Winton'!$C$2:$AC$13,27,0),0)</f>
        <v>105</v>
      </c>
      <c r="I4" s="197">
        <v>0</v>
      </c>
      <c r="J4" s="483">
        <v>0</v>
      </c>
      <c r="K4" s="483">
        <v>0</v>
      </c>
      <c r="L4" s="483">
        <v>0</v>
      </c>
      <c r="M4" s="197">
        <v>0</v>
      </c>
      <c r="N4" s="197">
        <v>0</v>
      </c>
      <c r="O4" s="198">
        <v>0</v>
      </c>
      <c r="P4" s="5" t="str">
        <f>CONCATENATE(LOWER(B4)," ",LOWER(C4))</f>
        <v>robert downes</v>
      </c>
    </row>
    <row r="5" spans="1:16" s="5" customFormat="1" ht="12.75">
      <c r="A5" s="170">
        <v>3</v>
      </c>
      <c r="B5" s="114" t="s">
        <v>43</v>
      </c>
      <c r="C5" s="195" t="s">
        <v>44</v>
      </c>
      <c r="D5" s="196" t="s">
        <v>29</v>
      </c>
      <c r="E5" s="204">
        <f>SUM(F5:O5)</f>
        <v>215</v>
      </c>
      <c r="F5" s="196">
        <f>_xlfn.IFERROR(VLOOKUP($P5,'[1]Rd1 Broadford'!$C$2:$AC$17,27,0),0)</f>
        <v>110</v>
      </c>
      <c r="G5" s="47">
        <f>_xlfn.IFERROR(VLOOKUP($P5,'[1]Rd2 Winton'!$C$2:$AD$21,28,0),0)</f>
        <v>0</v>
      </c>
      <c r="H5" s="47">
        <f>_xlfn.IFERROR(VLOOKUP($P5,'[1]Rd3 Winton'!$C$2:$AC$13,27,0),0)</f>
        <v>105</v>
      </c>
      <c r="I5" s="39">
        <v>0</v>
      </c>
      <c r="J5" s="47">
        <v>0</v>
      </c>
      <c r="K5" s="47">
        <v>0</v>
      </c>
      <c r="L5" s="47">
        <v>0</v>
      </c>
      <c r="M5" s="39">
        <v>0</v>
      </c>
      <c r="N5" s="39">
        <v>0</v>
      </c>
      <c r="O5" s="115">
        <v>0</v>
      </c>
      <c r="P5" s="5" t="str">
        <f>CONCATENATE(LOWER(B5)," ",LOWER(C5))</f>
        <v>noel heritage</v>
      </c>
    </row>
    <row r="6" spans="1:16" s="5" customFormat="1" ht="12.75">
      <c r="A6" s="170">
        <v>4</v>
      </c>
      <c r="B6" s="64" t="s">
        <v>103</v>
      </c>
      <c r="C6" s="194" t="s">
        <v>104</v>
      </c>
      <c r="D6" s="116" t="s">
        <v>5</v>
      </c>
      <c r="E6" s="204">
        <f>SUM(F6:O6)</f>
        <v>205</v>
      </c>
      <c r="F6" s="207">
        <f>_xlfn.IFERROR(VLOOKUP($P6,'[1]Rd1 Broadford'!$C$2:$AC$17,27,0),0)</f>
        <v>75</v>
      </c>
      <c r="G6" s="59">
        <f>_xlfn.IFERROR(VLOOKUP($P6,'[1]Rd2 Winton'!$C$2:$AD$21,28,0),0)</f>
        <v>65</v>
      </c>
      <c r="H6" s="59">
        <f>_xlfn.IFERROR(VLOOKUP($P6,'[1]Rd3 Winton'!$C$2:$AC$13,27,0),0)</f>
        <v>65</v>
      </c>
      <c r="I6" s="56">
        <v>0</v>
      </c>
      <c r="J6" s="59">
        <v>0</v>
      </c>
      <c r="K6" s="59">
        <v>0</v>
      </c>
      <c r="L6" s="59">
        <v>0</v>
      </c>
      <c r="M6" s="56">
        <v>0</v>
      </c>
      <c r="N6" s="56">
        <v>0</v>
      </c>
      <c r="O6" s="117">
        <v>0</v>
      </c>
      <c r="P6" s="5" t="str">
        <f>CONCATENATE(LOWER(B6)," ",LOWER(C6))</f>
        <v>steve williamsz</v>
      </c>
    </row>
    <row r="7" spans="1:16" s="5" customFormat="1" ht="12.75">
      <c r="A7" s="170">
        <v>5</v>
      </c>
      <c r="B7" s="180" t="s">
        <v>132</v>
      </c>
      <c r="C7" s="192" t="s">
        <v>133</v>
      </c>
      <c r="D7" s="178" t="s">
        <v>14</v>
      </c>
      <c r="E7" s="204">
        <f>SUM(F7:O7)</f>
        <v>195</v>
      </c>
      <c r="F7" s="206">
        <f>_xlfn.IFERROR(VLOOKUP($P7,'[1]Rd1 Broadford'!$C$2:$AC$17,27,0),0)</f>
        <v>105</v>
      </c>
      <c r="G7" s="65">
        <f>_xlfn.IFERROR(VLOOKUP($P7,'[1]Rd2 Winton'!$C$2:$AD$21,28,0),0)</f>
        <v>90</v>
      </c>
      <c r="H7" s="65">
        <f>_xlfn.IFERROR(VLOOKUP($P7,'[1]Rd3 Winton'!$C$2:$AC$13,27,0),0)</f>
        <v>0</v>
      </c>
      <c r="I7" s="58">
        <v>0</v>
      </c>
      <c r="J7" s="65">
        <v>0</v>
      </c>
      <c r="K7" s="65">
        <v>0</v>
      </c>
      <c r="L7" s="65">
        <v>0</v>
      </c>
      <c r="M7" s="58">
        <v>0</v>
      </c>
      <c r="N7" s="58">
        <v>0</v>
      </c>
      <c r="O7" s="179">
        <v>0</v>
      </c>
      <c r="P7" s="5" t="str">
        <f>CONCATENATE(LOWER(B7)," ",LOWER(C7))</f>
        <v>dave moore</v>
      </c>
    </row>
    <row r="8" spans="1:16" s="5" customFormat="1" ht="12.75">
      <c r="A8" s="170">
        <v>6</v>
      </c>
      <c r="B8" s="64" t="s">
        <v>125</v>
      </c>
      <c r="C8" s="194" t="s">
        <v>212</v>
      </c>
      <c r="D8" s="116" t="s">
        <v>5</v>
      </c>
      <c r="E8" s="204">
        <f>SUM(F8:O8)</f>
        <v>190</v>
      </c>
      <c r="F8" s="207">
        <f>_xlfn.IFERROR(VLOOKUP($P8,'[1]Rd1 Broadford'!$C$2:$AC$17,27,0),0)</f>
        <v>100</v>
      </c>
      <c r="G8" s="59">
        <f>_xlfn.IFERROR(VLOOKUP($P8,'[1]Rd2 Winton'!$C$2:$AD$21,28,0),0)</f>
        <v>90</v>
      </c>
      <c r="H8" s="59">
        <f>_xlfn.IFERROR(VLOOKUP($P8,'[1]Rd3 Winton'!$C$2:$AC$13,27,0),0)</f>
        <v>0</v>
      </c>
      <c r="I8" s="56">
        <v>0</v>
      </c>
      <c r="J8" s="59">
        <v>0</v>
      </c>
      <c r="K8" s="59">
        <v>0</v>
      </c>
      <c r="L8" s="59">
        <v>0</v>
      </c>
      <c r="M8" s="56">
        <v>0</v>
      </c>
      <c r="N8" s="56">
        <v>0</v>
      </c>
      <c r="O8" s="117">
        <v>0</v>
      </c>
      <c r="P8" s="5" t="str">
        <f>CONCATENATE(LOWER(B8)," ",LOWER(C8))</f>
        <v>ibrahim rafei</v>
      </c>
    </row>
    <row r="9" spans="1:16" s="5" customFormat="1" ht="12.75">
      <c r="A9" s="170">
        <v>7</v>
      </c>
      <c r="B9" s="64" t="s">
        <v>128</v>
      </c>
      <c r="C9" s="194" t="s">
        <v>105</v>
      </c>
      <c r="D9" s="116" t="s">
        <v>5</v>
      </c>
      <c r="E9" s="204">
        <f>SUM(F9:O9)</f>
        <v>175</v>
      </c>
      <c r="F9" s="207">
        <f>_xlfn.IFERROR(VLOOKUP($P9,'[1]Rd1 Broadford'!$C$2:$AC$17,27,0),0)</f>
        <v>20</v>
      </c>
      <c r="G9" s="59">
        <f>_xlfn.IFERROR(VLOOKUP($P9,'[1]Rd2 Winton'!$C$2:$AD$21,28,0),0)</f>
        <v>50</v>
      </c>
      <c r="H9" s="59">
        <f>_xlfn.IFERROR(VLOOKUP($P9,'[1]Rd3 Winton'!$C$2:$AC$13,27,0),0)</f>
        <v>105</v>
      </c>
      <c r="I9" s="56">
        <v>0</v>
      </c>
      <c r="J9" s="59">
        <v>0</v>
      </c>
      <c r="K9" s="59">
        <v>0</v>
      </c>
      <c r="L9" s="59">
        <v>0</v>
      </c>
      <c r="M9" s="56">
        <v>0</v>
      </c>
      <c r="N9" s="56">
        <v>0</v>
      </c>
      <c r="O9" s="117">
        <v>0</v>
      </c>
      <c r="P9" s="5" t="str">
        <f>CONCATENATE(LOWER(B9)," ",LOWER(C9))</f>
        <v>gareth pedley</v>
      </c>
    </row>
    <row r="10" spans="1:16" s="5" customFormat="1" ht="12.75">
      <c r="A10" s="170">
        <v>8</v>
      </c>
      <c r="B10" s="64" t="s">
        <v>45</v>
      </c>
      <c r="C10" s="194" t="s">
        <v>46</v>
      </c>
      <c r="D10" s="116" t="s">
        <v>5</v>
      </c>
      <c r="E10" s="204">
        <f>SUM(F10:O10)</f>
        <v>160</v>
      </c>
      <c r="F10" s="207">
        <f>_xlfn.IFERROR(VLOOKUP($P10,'[1]Rd1 Broadford'!$C$2:$AC$17,27,0),0)</f>
        <v>60</v>
      </c>
      <c r="G10" s="59">
        <f>_xlfn.IFERROR(VLOOKUP($P10,'[1]Rd2 Winton'!$C$2:$AD$21,28,0),0)</f>
        <v>20</v>
      </c>
      <c r="H10" s="59">
        <f>_xlfn.IFERROR(VLOOKUP($P10,'[1]Rd3 Winton'!$C$2:$AC$13,27,0),0)</f>
        <v>80</v>
      </c>
      <c r="I10" s="56">
        <v>0</v>
      </c>
      <c r="J10" s="59">
        <v>0</v>
      </c>
      <c r="K10" s="59">
        <v>0</v>
      </c>
      <c r="L10" s="59">
        <v>0</v>
      </c>
      <c r="M10" s="56">
        <v>0</v>
      </c>
      <c r="N10" s="56">
        <v>0</v>
      </c>
      <c r="O10" s="117">
        <v>0</v>
      </c>
      <c r="P10" s="5" t="str">
        <f>CONCATENATE(LOWER(B10)," ",LOWER(C10))</f>
        <v>simeon ouzas</v>
      </c>
    </row>
    <row r="11" spans="1:16" s="5" customFormat="1" ht="12.75">
      <c r="A11" s="170">
        <v>9</v>
      </c>
      <c r="B11" s="123" t="s">
        <v>41</v>
      </c>
      <c r="C11" s="193" t="s">
        <v>42</v>
      </c>
      <c r="D11" s="119" t="s">
        <v>13</v>
      </c>
      <c r="E11" s="204">
        <f>SUM(F11:O11)</f>
        <v>145</v>
      </c>
      <c r="F11" s="209">
        <f>_xlfn.IFERROR(VLOOKUP($P11,'[1]Rd1 Broadford'!$C$2:$AC$17,27,0),0)</f>
        <v>95</v>
      </c>
      <c r="G11" s="76">
        <f>_xlfn.IFERROR(VLOOKUP($P11,'[1]Rd2 Winton'!$C$2:$AD$21,28,0),0)</f>
        <v>0</v>
      </c>
      <c r="H11" s="76">
        <f>_xlfn.IFERROR(VLOOKUP($P11,'[1]Rd3 Winton'!$C$2:$AC$13,27,0),0)</f>
        <v>50</v>
      </c>
      <c r="I11" s="77">
        <v>0</v>
      </c>
      <c r="J11" s="76">
        <v>0</v>
      </c>
      <c r="K11" s="76">
        <v>0</v>
      </c>
      <c r="L11" s="76">
        <v>0</v>
      </c>
      <c r="M11" s="77">
        <v>0</v>
      </c>
      <c r="N11" s="77">
        <v>0</v>
      </c>
      <c r="O11" s="120">
        <v>0</v>
      </c>
      <c r="P11" s="5" t="str">
        <f>CONCATENATE(LOWER(B11)," ",LOWER(C11))</f>
        <v>tim meaden</v>
      </c>
    </row>
    <row r="12" spans="1:16" s="5" customFormat="1" ht="12.75">
      <c r="A12" s="170">
        <v>10</v>
      </c>
      <c r="B12" s="202" t="s">
        <v>193</v>
      </c>
      <c r="C12" s="210" t="s">
        <v>194</v>
      </c>
      <c r="D12" s="211" t="s">
        <v>65</v>
      </c>
      <c r="E12" s="204">
        <f>SUM(F12:O12)</f>
        <v>110</v>
      </c>
      <c r="F12" s="212">
        <f>_xlfn.IFERROR(VLOOKUP($P12,'[1]Rd1 Broadford'!$C$2:$AC$17,27,0),0)</f>
        <v>0</v>
      </c>
      <c r="G12" s="145">
        <f>_xlfn.IFERROR(VLOOKUP($P12,'[1]Rd2 Winton'!$C$2:$AD$21,28,0),0)</f>
        <v>0</v>
      </c>
      <c r="H12" s="145">
        <f>_xlfn.IFERROR(VLOOKUP($P12,'[1]Rd3 Winton'!$C$2:$AC$13,27,0),0)</f>
        <v>110</v>
      </c>
      <c r="I12" s="146">
        <v>0</v>
      </c>
      <c r="J12" s="145">
        <v>0</v>
      </c>
      <c r="K12" s="145">
        <v>0</v>
      </c>
      <c r="L12" s="145">
        <v>0</v>
      </c>
      <c r="M12" s="146">
        <v>0</v>
      </c>
      <c r="N12" s="146">
        <v>0</v>
      </c>
      <c r="O12" s="200">
        <v>0</v>
      </c>
      <c r="P12" s="5" t="str">
        <f>CONCATENATE(LOWER(B12)," ",LOWER(C12))</f>
        <v>randy stagno navarra</v>
      </c>
    </row>
    <row r="13" spans="1:16" s="5" customFormat="1" ht="12.75">
      <c r="A13" s="170">
        <v>11</v>
      </c>
      <c r="B13" s="224" t="s">
        <v>191</v>
      </c>
      <c r="C13" s="225" t="s">
        <v>192</v>
      </c>
      <c r="D13" s="226" t="s">
        <v>24</v>
      </c>
      <c r="E13" s="204">
        <f>SUM(F13:O13)</f>
        <v>100</v>
      </c>
      <c r="F13" s="226">
        <f>_xlfn.IFERROR(VLOOKUP($P13,'[1]Rd1 Broadford'!$C$2:$AC$17,27,0),0)</f>
        <v>0</v>
      </c>
      <c r="G13" s="137">
        <f>_xlfn.IFERROR(VLOOKUP($P13,'[1]Rd2 Winton'!$C$2:$AD$21,28,0),0)</f>
        <v>0</v>
      </c>
      <c r="H13" s="137">
        <f>_xlfn.IFERROR(VLOOKUP($P13,'[1]Rd3 Winton'!$C$2:$AC$13,27,0),0)</f>
        <v>100</v>
      </c>
      <c r="I13" s="138">
        <v>0</v>
      </c>
      <c r="J13" s="137">
        <v>0</v>
      </c>
      <c r="K13" s="137">
        <v>0</v>
      </c>
      <c r="L13" s="137">
        <v>0</v>
      </c>
      <c r="M13" s="138">
        <v>0</v>
      </c>
      <c r="N13" s="138">
        <v>0</v>
      </c>
      <c r="O13" s="227">
        <v>0</v>
      </c>
      <c r="P13" s="5" t="str">
        <f>CONCATENATE(LOWER(B13)," ",LOWER(C13))</f>
        <v>dean watchorn</v>
      </c>
    </row>
    <row r="14" spans="1:16" s="5" customFormat="1" ht="12.75">
      <c r="A14" s="170">
        <v>12</v>
      </c>
      <c r="B14" s="64" t="s">
        <v>127</v>
      </c>
      <c r="C14" s="194" t="s">
        <v>212</v>
      </c>
      <c r="D14" s="116" t="s">
        <v>5</v>
      </c>
      <c r="E14" s="204">
        <f>SUM(F14:O14)</f>
        <v>75</v>
      </c>
      <c r="F14" s="207">
        <f>_xlfn.IFERROR(VLOOKUP($P14,'[1]Rd1 Broadford'!$C$2:$AC$17,27,0),0)</f>
        <v>40</v>
      </c>
      <c r="G14" s="59">
        <f>_xlfn.IFERROR(VLOOKUP($P14,'[1]Rd2 Winton'!$C$2:$AD$21,28,0),0)</f>
        <v>35</v>
      </c>
      <c r="H14" s="59">
        <f>_xlfn.IFERROR(VLOOKUP($P14,'[1]Rd3 Winton'!$C$2:$AC$13,27,0),0)</f>
        <v>0</v>
      </c>
      <c r="I14" s="56">
        <v>0</v>
      </c>
      <c r="J14" s="59">
        <v>0</v>
      </c>
      <c r="K14" s="59">
        <v>0</v>
      </c>
      <c r="L14" s="59">
        <v>0</v>
      </c>
      <c r="M14" s="56">
        <v>0</v>
      </c>
      <c r="N14" s="56">
        <v>0</v>
      </c>
      <c r="O14" s="117">
        <v>0</v>
      </c>
      <c r="P14" s="5" t="str">
        <f>CONCATENATE(LOWER(B14)," ",LOWER(C14))</f>
        <v>allison rafei</v>
      </c>
    </row>
    <row r="15" spans="1:16" s="5" customFormat="1" ht="12.75">
      <c r="A15" s="170">
        <v>13</v>
      </c>
      <c r="B15" s="202" t="s">
        <v>41</v>
      </c>
      <c r="C15" s="210" t="s">
        <v>163</v>
      </c>
      <c r="D15" s="211" t="s">
        <v>65</v>
      </c>
      <c r="E15" s="204">
        <f>SUM(F15:O15)</f>
        <v>50</v>
      </c>
      <c r="F15" s="212">
        <f>_xlfn.IFERROR(VLOOKUP($P15,'[1]Rd1 Broadford'!$C$2:$AC$17,27,0),0)</f>
        <v>0</v>
      </c>
      <c r="G15" s="145">
        <f>_xlfn.IFERROR(VLOOKUP($P15,'[1]Rd2 Winton'!$C$2:$AD$21,28,0),0)</f>
        <v>50</v>
      </c>
      <c r="H15" s="145">
        <f>_xlfn.IFERROR(VLOOKUP($P15,'[1]Rd3 Winton'!$C$2:$AC$13,27,0),0)</f>
        <v>0</v>
      </c>
      <c r="I15" s="146">
        <v>0</v>
      </c>
      <c r="J15" s="145">
        <v>0</v>
      </c>
      <c r="K15" s="145">
        <v>0</v>
      </c>
      <c r="L15" s="145">
        <v>0</v>
      </c>
      <c r="M15" s="146">
        <v>0</v>
      </c>
      <c r="N15" s="146">
        <v>0</v>
      </c>
      <c r="O15" s="200">
        <v>0</v>
      </c>
      <c r="P15" s="5" t="str">
        <f>CONCATENATE(LOWER(B15)," ",LOWER(C15))</f>
        <v>tim edwards</v>
      </c>
    </row>
    <row r="16" spans="1:16" s="5" customFormat="1" ht="12.75">
      <c r="A16" s="170">
        <v>14</v>
      </c>
      <c r="B16" s="114" t="s">
        <v>136</v>
      </c>
      <c r="C16" s="195" t="s">
        <v>137</v>
      </c>
      <c r="D16" s="196" t="s">
        <v>29</v>
      </c>
      <c r="E16" s="204">
        <f>SUM(F16:O16)</f>
        <v>45</v>
      </c>
      <c r="F16" s="196">
        <f>_xlfn.IFERROR(VLOOKUP($P16,'[1]Rd1 Broadford'!$C$2:$AC$17,27,0),0)</f>
        <v>25</v>
      </c>
      <c r="G16" s="47">
        <f>_xlfn.IFERROR(VLOOKUP($P16,'[1]Rd2 Winton'!$C$2:$AD$21,28,0),0)</f>
        <v>0</v>
      </c>
      <c r="H16" s="47">
        <f>_xlfn.IFERROR(VLOOKUP($P16,'[1]Rd3 Winton'!$C$2:$AC$13,27,0),0)</f>
        <v>20</v>
      </c>
      <c r="I16" s="39">
        <v>0</v>
      </c>
      <c r="J16" s="47">
        <v>0</v>
      </c>
      <c r="K16" s="47">
        <v>0</v>
      </c>
      <c r="L16" s="47">
        <v>0</v>
      </c>
      <c r="M16" s="39">
        <v>0</v>
      </c>
      <c r="N16" s="39">
        <v>0</v>
      </c>
      <c r="O16" s="115">
        <v>0</v>
      </c>
      <c r="P16" s="5" t="str">
        <f>CONCATENATE(LOWER(B16)," ",LOWER(C16))</f>
        <v>murray seymour</v>
      </c>
    </row>
    <row r="17" spans="1:16" s="5" customFormat="1" ht="12.75">
      <c r="A17" s="170">
        <v>15</v>
      </c>
      <c r="B17" s="122" t="s">
        <v>157</v>
      </c>
      <c r="C17" s="213" t="s">
        <v>158</v>
      </c>
      <c r="D17" s="214" t="s">
        <v>66</v>
      </c>
      <c r="E17" s="204">
        <f>SUM(F17:O17)</f>
        <v>40</v>
      </c>
      <c r="F17" s="215">
        <f>_xlfn.IFERROR(VLOOKUP($P17,'[1]Rd1 Broadford'!$C$2:$AC$17,27,0),0)</f>
        <v>0</v>
      </c>
      <c r="G17" s="53">
        <f>_xlfn.IFERROR(VLOOKUP($P17,'[1]Rd2 Winton'!$C$2:$AD$21,28,0),0)</f>
        <v>40</v>
      </c>
      <c r="H17" s="53">
        <f>_xlfn.IFERROR(VLOOKUP($P17,'[1]Rd3 Winton'!$C$2:$AC$13,27,0),0)</f>
        <v>0</v>
      </c>
      <c r="I17" s="37">
        <v>0</v>
      </c>
      <c r="J17" s="53">
        <v>0</v>
      </c>
      <c r="K17" s="53">
        <v>0</v>
      </c>
      <c r="L17" s="53">
        <v>0</v>
      </c>
      <c r="M17" s="37">
        <v>0</v>
      </c>
      <c r="N17" s="37">
        <v>0</v>
      </c>
      <c r="O17" s="199">
        <v>0</v>
      </c>
      <c r="P17" s="5" t="str">
        <f>CONCATENATE(LOWER(B17)," ",LOWER(C17))</f>
        <v>daniel white</v>
      </c>
    </row>
    <row r="18" spans="1:16" s="5" customFormat="1" ht="12.75">
      <c r="A18" s="170">
        <v>16</v>
      </c>
      <c r="B18" s="64" t="s">
        <v>196</v>
      </c>
      <c r="C18" s="194" t="s">
        <v>135</v>
      </c>
      <c r="D18" s="116" t="s">
        <v>5</v>
      </c>
      <c r="E18" s="204">
        <f>SUM(F18:O18)</f>
        <v>35</v>
      </c>
      <c r="F18" s="207">
        <f>_xlfn.IFERROR(VLOOKUP($P18,'[1]Rd1 Broadford'!$C$2:$AC$17,27,0),0)</f>
        <v>0</v>
      </c>
      <c r="G18" s="59">
        <f>_xlfn.IFERROR(VLOOKUP($P18,'[1]Rd2 Winton'!$C$2:$AD$21,28,0),0)</f>
        <v>0</v>
      </c>
      <c r="H18" s="59">
        <f>_xlfn.IFERROR(VLOOKUP($P18,'[1]Rd3 Winton'!$C$2:$AC$13,27,0),0)</f>
        <v>35</v>
      </c>
      <c r="I18" s="56">
        <v>0</v>
      </c>
      <c r="J18" s="59">
        <v>0</v>
      </c>
      <c r="K18" s="59">
        <v>0</v>
      </c>
      <c r="L18" s="59">
        <v>0</v>
      </c>
      <c r="M18" s="56">
        <v>0</v>
      </c>
      <c r="N18" s="56">
        <v>0</v>
      </c>
      <c r="O18" s="117">
        <v>0</v>
      </c>
      <c r="P18" s="5" t="str">
        <f>CONCATENATE(LOWER(B18)," ",LOWER(C18))</f>
        <v>john downes</v>
      </c>
    </row>
    <row r="19" spans="1:16" s="5" customFormat="1" ht="12.75">
      <c r="A19" s="170">
        <v>17</v>
      </c>
      <c r="B19" s="122" t="s">
        <v>161</v>
      </c>
      <c r="C19" s="213" t="s">
        <v>162</v>
      </c>
      <c r="D19" s="214" t="s">
        <v>66</v>
      </c>
      <c r="E19" s="204">
        <f>SUM(F19:O19)</f>
        <v>30</v>
      </c>
      <c r="F19" s="215">
        <f>_xlfn.IFERROR(VLOOKUP($P19,'[1]Rd1 Broadford'!$C$2:$AC$17,27,0),0)</f>
        <v>0</v>
      </c>
      <c r="G19" s="53">
        <f>_xlfn.IFERROR(VLOOKUP($P19,'[1]Rd2 Winton'!$C$2:$AD$21,28,0),0)</f>
        <v>30</v>
      </c>
      <c r="H19" s="53">
        <f>_xlfn.IFERROR(VLOOKUP($P19,'[1]Rd3 Winton'!$C$2:$AC$13,27,0),0)</f>
        <v>0</v>
      </c>
      <c r="I19" s="37">
        <v>0</v>
      </c>
      <c r="J19" s="53">
        <v>0</v>
      </c>
      <c r="K19" s="53">
        <v>0</v>
      </c>
      <c r="L19" s="53">
        <v>0</v>
      </c>
      <c r="M19" s="37">
        <v>0</v>
      </c>
      <c r="N19" s="37">
        <v>0</v>
      </c>
      <c r="O19" s="199">
        <v>0</v>
      </c>
      <c r="P19" s="5" t="str">
        <f>CONCATENATE(LOWER(B19)," ",LOWER(C19))</f>
        <v>gavin newman</v>
      </c>
    </row>
    <row r="20" spans="1:16" s="5" customFormat="1" ht="12.75">
      <c r="A20" s="170">
        <v>18</v>
      </c>
      <c r="B20" s="201" t="s">
        <v>156</v>
      </c>
      <c r="C20" s="484" t="s">
        <v>155</v>
      </c>
      <c r="D20" s="223" t="s">
        <v>30</v>
      </c>
      <c r="E20" s="204">
        <f>SUM(F20:O20)</f>
        <v>5</v>
      </c>
      <c r="F20" s="485">
        <f>_xlfn.IFERROR(VLOOKUP($P20,'[1]Rd1 Broadford'!$C$2:$AC$17,27,0),0)</f>
        <v>0</v>
      </c>
      <c r="G20" s="483">
        <f>_xlfn.IFERROR(VLOOKUP($P20,'[1]Rd2 Winton'!$C$2:$AD$21,28,0),0)</f>
        <v>5</v>
      </c>
      <c r="H20" s="483">
        <f>_xlfn.IFERROR(VLOOKUP($P20,'[1]Rd3 Winton'!$C$2:$AC$13,27,0),0)</f>
        <v>0</v>
      </c>
      <c r="I20" s="197">
        <v>0</v>
      </c>
      <c r="J20" s="483">
        <v>0</v>
      </c>
      <c r="K20" s="483">
        <v>0</v>
      </c>
      <c r="L20" s="483">
        <v>0</v>
      </c>
      <c r="M20" s="197">
        <v>0</v>
      </c>
      <c r="N20" s="197">
        <v>0</v>
      </c>
      <c r="O20" s="198">
        <v>0</v>
      </c>
      <c r="P20" s="5" t="str">
        <f>CONCATENATE(LOWER(B20)," ",LOWER(C20))</f>
        <v>george vellis</v>
      </c>
    </row>
    <row r="21" spans="1:16" s="5" customFormat="1" ht="12.75">
      <c r="A21" s="170">
        <v>18</v>
      </c>
      <c r="B21" s="114" t="s">
        <v>159</v>
      </c>
      <c r="C21" s="195" t="s">
        <v>160</v>
      </c>
      <c r="D21" s="196" t="s">
        <v>29</v>
      </c>
      <c r="E21" s="204">
        <f>SUM(F21:O21)</f>
        <v>5</v>
      </c>
      <c r="F21" s="196">
        <f>_xlfn.IFERROR(VLOOKUP($P21,'[1]Rd1 Broadford'!$C$2:$AC$17,27,0),0)</f>
        <v>0</v>
      </c>
      <c r="G21" s="47">
        <f>_xlfn.IFERROR(VLOOKUP($P21,'[1]Rd2 Winton'!$C$2:$AD$21,28,0),0)</f>
        <v>5</v>
      </c>
      <c r="H21" s="47">
        <f>_xlfn.IFERROR(VLOOKUP($P21,'[1]Rd3 Winton'!$C$2:$AC$13,27,0),0)</f>
        <v>0</v>
      </c>
      <c r="I21" s="39">
        <v>0</v>
      </c>
      <c r="J21" s="47">
        <v>0</v>
      </c>
      <c r="K21" s="47">
        <v>0</v>
      </c>
      <c r="L21" s="47">
        <v>0</v>
      </c>
      <c r="M21" s="39">
        <v>0</v>
      </c>
      <c r="N21" s="39">
        <v>0</v>
      </c>
      <c r="O21" s="115">
        <v>0</v>
      </c>
      <c r="P21" s="5" t="str">
        <f>CONCATENATE(LOWER(B21)," ",LOWER(C21))</f>
        <v>peter dannock</v>
      </c>
    </row>
    <row r="22" spans="1:16" s="5" customFormat="1" ht="13.5" thickBot="1">
      <c r="A22" s="171">
        <v>18</v>
      </c>
      <c r="B22" s="517" t="s">
        <v>106</v>
      </c>
      <c r="C22" s="518" t="s">
        <v>107</v>
      </c>
      <c r="D22" s="172" t="s">
        <v>5</v>
      </c>
      <c r="E22" s="205">
        <f>SUM(F22:O22)</f>
        <v>5</v>
      </c>
      <c r="F22" s="519">
        <f>_xlfn.IFERROR(VLOOKUP($P22,'[1]Rd1 Broadford'!$C$2:$AC$17,27,0),0)</f>
        <v>5</v>
      </c>
      <c r="G22" s="175">
        <f>_xlfn.IFERROR(VLOOKUP($P22,'[1]Rd2 Winton'!$C$2:$AD$21,28,0),0)</f>
        <v>0</v>
      </c>
      <c r="H22" s="175">
        <f>_xlfn.IFERROR(VLOOKUP($P22,'[1]Rd3 Winton'!$C$2:$AC$13,27,0),0)</f>
        <v>0</v>
      </c>
      <c r="I22" s="173">
        <v>0</v>
      </c>
      <c r="J22" s="175">
        <v>0</v>
      </c>
      <c r="K22" s="175">
        <v>0</v>
      </c>
      <c r="L22" s="175">
        <v>0</v>
      </c>
      <c r="M22" s="173">
        <v>0</v>
      </c>
      <c r="N22" s="173">
        <v>0</v>
      </c>
      <c r="O22" s="174">
        <v>0</v>
      </c>
      <c r="P22" s="5" t="str">
        <f>CONCATENATE(LOWER(B22)," ",LOWER(C22))</f>
        <v>tony maslen</v>
      </c>
    </row>
    <row r="23" spans="1:17" ht="12.75">
      <c r="A23" s="3"/>
      <c r="B23" s="9"/>
      <c r="C23" s="9"/>
      <c r="D23" s="12"/>
      <c r="E23" s="12"/>
      <c r="F23" s="4"/>
      <c r="G23" s="5"/>
      <c r="H23" s="5"/>
      <c r="I23" s="5"/>
      <c r="J23" s="5"/>
      <c r="K23" s="5"/>
      <c r="L23" s="5"/>
      <c r="M23" s="5"/>
      <c r="N23" s="5"/>
      <c r="O23" s="5"/>
      <c r="P23" s="14"/>
      <c r="Q23" s="15"/>
    </row>
    <row r="24" spans="1:17" ht="15">
      <c r="A24" s="10" t="s">
        <v>6</v>
      </c>
      <c r="B24" s="6"/>
      <c r="C24" s="6"/>
      <c r="D24" s="17"/>
      <c r="E24" s="24"/>
      <c r="F24" s="12"/>
      <c r="G24" s="12"/>
      <c r="H24" s="12"/>
      <c r="I24" s="12"/>
      <c r="J24" s="12"/>
      <c r="K24" s="12"/>
      <c r="L24" s="12"/>
      <c r="M24" s="12"/>
      <c r="N24" s="12"/>
      <c r="O24" s="12"/>
      <c r="P24" s="14"/>
      <c r="Q24" s="15"/>
    </row>
    <row r="25" spans="1:17" ht="12.75">
      <c r="A25" s="16"/>
      <c r="B25" s="6"/>
      <c r="C25" s="6"/>
      <c r="D25" s="17"/>
      <c r="E25" s="24"/>
      <c r="F25" s="12"/>
      <c r="G25" s="12"/>
      <c r="H25" s="12"/>
      <c r="I25" s="12"/>
      <c r="J25" s="12"/>
      <c r="K25" s="12"/>
      <c r="L25" s="12"/>
      <c r="M25" s="12"/>
      <c r="N25" s="12"/>
      <c r="O25" s="12"/>
      <c r="P25" s="14"/>
      <c r="Q25" s="15"/>
    </row>
    <row r="26" spans="1:15" s="5" customFormat="1" ht="13.5" thickBot="1">
      <c r="A26" s="85" t="s">
        <v>7</v>
      </c>
      <c r="B26" s="86"/>
      <c r="C26" s="86"/>
      <c r="D26" s="7"/>
      <c r="E26" s="24"/>
      <c r="F26" s="12"/>
      <c r="G26" s="12"/>
      <c r="H26" s="12"/>
      <c r="I26" s="12"/>
      <c r="J26" s="12"/>
      <c r="K26" s="12"/>
      <c r="L26" s="12"/>
      <c r="M26" s="12"/>
      <c r="N26" s="12"/>
      <c r="O26" s="12"/>
    </row>
    <row r="27" spans="1:16" s="5" customFormat="1" ht="12.75">
      <c r="A27" s="87">
        <v>1</v>
      </c>
      <c r="B27" s="88"/>
      <c r="C27" s="88"/>
      <c r="D27" s="90" t="s">
        <v>3</v>
      </c>
      <c r="E27" s="93">
        <f>SUM(F27:O27)-SMALL(F27:O27,2)-MIN(F27:O27)</f>
        <v>0</v>
      </c>
      <c r="F27" s="486">
        <f>_xlfn.IFERROR(VLOOKUP($P27,'Rd1 Broadford'!$C$2:$AC$17,17,0),0)</f>
        <v>0</v>
      </c>
      <c r="G27" s="83">
        <f>_xlfn.IFERROR(VLOOKUP($P27,'Rd2 Winton'!$C$2:$AD$21,20,0),0)</f>
        <v>0</v>
      </c>
      <c r="H27" s="90">
        <v>0</v>
      </c>
      <c r="I27" s="90">
        <v>0</v>
      </c>
      <c r="J27" s="83">
        <v>0</v>
      </c>
      <c r="K27" s="83">
        <v>0</v>
      </c>
      <c r="L27" s="83">
        <v>0</v>
      </c>
      <c r="M27" s="84">
        <v>0</v>
      </c>
      <c r="N27" s="84">
        <v>0</v>
      </c>
      <c r="O27" s="84">
        <v>0</v>
      </c>
      <c r="P27" s="5" t="str">
        <f aca="true" t="shared" si="0" ref="P27:P33">CONCATENATE(LOWER(B27)," ",LOWER(C27))</f>
        <v> </v>
      </c>
    </row>
    <row r="28" spans="1:16" s="5" customFormat="1" ht="12.75">
      <c r="A28" s="87">
        <v>2</v>
      </c>
      <c r="B28" s="88"/>
      <c r="C28" s="88"/>
      <c r="D28" s="90" t="s">
        <v>3</v>
      </c>
      <c r="E28" s="94">
        <f>SUM(F28:O28)-SMALL(F28:O28,2)-MIN(F28:O28)</f>
        <v>0</v>
      </c>
      <c r="F28" s="486">
        <f>_xlfn.IFERROR(VLOOKUP($P28,'Rd1 Broadford'!$C$2:$AC$17,17,0),0)</f>
        <v>0</v>
      </c>
      <c r="G28" s="83">
        <f>_xlfn.IFERROR(VLOOKUP($P28,'Rd2 Winton'!$C$2:$AD$21,20,0),0)</f>
        <v>0</v>
      </c>
      <c r="H28" s="90">
        <v>0</v>
      </c>
      <c r="I28" s="90">
        <v>0</v>
      </c>
      <c r="J28" s="83">
        <v>0</v>
      </c>
      <c r="K28" s="83">
        <v>0</v>
      </c>
      <c r="L28" s="83">
        <v>0</v>
      </c>
      <c r="M28" s="84">
        <v>0</v>
      </c>
      <c r="N28" s="84">
        <v>0</v>
      </c>
      <c r="O28" s="84">
        <v>0</v>
      </c>
      <c r="P28" s="5" t="str">
        <f t="shared" si="0"/>
        <v> </v>
      </c>
    </row>
    <row r="29" spans="1:16" s="5" customFormat="1" ht="12.75">
      <c r="A29" s="87">
        <v>3</v>
      </c>
      <c r="B29" s="88"/>
      <c r="C29" s="88"/>
      <c r="D29" s="90" t="s">
        <v>3</v>
      </c>
      <c r="E29" s="94">
        <f>SUM(F29:O29)-SMALL(F29:O29,2)-MIN(F29:O29)</f>
        <v>0</v>
      </c>
      <c r="F29" s="486">
        <f>_xlfn.IFERROR(VLOOKUP($P29,'Rd1 Broadford'!$C$2:$AC$17,17,0),0)</f>
        <v>0</v>
      </c>
      <c r="G29" s="83">
        <f>_xlfn.IFERROR(VLOOKUP($P29,'Rd2 Winton'!$C$2:$AD$21,20,0),0)</f>
        <v>0</v>
      </c>
      <c r="H29" s="90">
        <v>0</v>
      </c>
      <c r="I29" s="90">
        <v>0</v>
      </c>
      <c r="J29" s="83">
        <v>0</v>
      </c>
      <c r="K29" s="83">
        <v>0</v>
      </c>
      <c r="L29" s="83">
        <v>0</v>
      </c>
      <c r="M29" s="84">
        <v>0</v>
      </c>
      <c r="N29" s="84">
        <v>0</v>
      </c>
      <c r="O29" s="84">
        <v>0</v>
      </c>
      <c r="P29" s="5" t="str">
        <f t="shared" si="0"/>
        <v> </v>
      </c>
    </row>
    <row r="30" spans="1:17" ht="12.75">
      <c r="A30" s="87">
        <v>4</v>
      </c>
      <c r="B30" s="88"/>
      <c r="C30" s="88"/>
      <c r="D30" s="90" t="s">
        <v>3</v>
      </c>
      <c r="E30" s="94">
        <f>SUM(F30:O30)-SMALL(F30:O30,2)-MIN(F30:O30)</f>
        <v>0</v>
      </c>
      <c r="F30" s="486">
        <f>_xlfn.IFERROR(VLOOKUP($P30,'Rd1 Broadford'!$C$2:$AC$17,17,0),0)</f>
        <v>0</v>
      </c>
      <c r="G30" s="83">
        <f>_xlfn.IFERROR(VLOOKUP($P30,'Rd2 Winton'!$C$2:$AD$21,20,0),0)</f>
        <v>0</v>
      </c>
      <c r="H30" s="90">
        <v>0</v>
      </c>
      <c r="I30" s="90">
        <v>0</v>
      </c>
      <c r="J30" s="83">
        <v>0</v>
      </c>
      <c r="K30" s="83">
        <v>0</v>
      </c>
      <c r="L30" s="83">
        <v>0</v>
      </c>
      <c r="M30" s="84">
        <v>0</v>
      </c>
      <c r="N30" s="84">
        <v>0</v>
      </c>
      <c r="O30" s="84">
        <v>0</v>
      </c>
      <c r="P30" s="5" t="str">
        <f t="shared" si="0"/>
        <v> </v>
      </c>
      <c r="Q30" s="15"/>
    </row>
    <row r="31" spans="1:17" ht="13.5" thickBot="1">
      <c r="A31" s="89">
        <v>5</v>
      </c>
      <c r="B31" s="82"/>
      <c r="C31" s="82"/>
      <c r="D31" s="90" t="s">
        <v>3</v>
      </c>
      <c r="E31" s="95">
        <f>SUM(F31:O31)-SMALL(F31:O31,2)-MIN(F31:O31)</f>
        <v>0</v>
      </c>
      <c r="F31" s="486">
        <f>_xlfn.IFERROR(VLOOKUP($P31,'Rd1 Broadford'!$C$2:$AC$17,17,0),0)</f>
        <v>0</v>
      </c>
      <c r="G31" s="83">
        <f>_xlfn.IFERROR(VLOOKUP($P31,'Rd2 Winton'!$C$2:$AD$21,20,0),0)</f>
        <v>0</v>
      </c>
      <c r="H31" s="90">
        <v>0</v>
      </c>
      <c r="I31" s="90">
        <v>0</v>
      </c>
      <c r="J31" s="83">
        <v>0</v>
      </c>
      <c r="K31" s="83">
        <v>0</v>
      </c>
      <c r="L31" s="83">
        <v>0</v>
      </c>
      <c r="M31" s="84">
        <v>0</v>
      </c>
      <c r="N31" s="84">
        <v>0</v>
      </c>
      <c r="O31" s="84">
        <v>0</v>
      </c>
      <c r="P31" s="5" t="str">
        <f t="shared" si="0"/>
        <v> </v>
      </c>
      <c r="Q31" s="15"/>
    </row>
    <row r="32" spans="2:17" ht="12.75">
      <c r="B32" s="6"/>
      <c r="C32" s="6"/>
      <c r="D32" s="17"/>
      <c r="E32" s="24"/>
      <c r="F32" s="12"/>
      <c r="G32" s="12"/>
      <c r="H32" s="12"/>
      <c r="I32" s="12"/>
      <c r="J32" s="12"/>
      <c r="K32" s="12"/>
      <c r="L32" s="12"/>
      <c r="M32" s="12"/>
      <c r="N32" s="12"/>
      <c r="O32" s="12"/>
      <c r="P32" s="5" t="str">
        <f t="shared" si="0"/>
        <v> </v>
      </c>
      <c r="Q32" s="15"/>
    </row>
    <row r="33" spans="1:16" s="5" customFormat="1" ht="13.5" thickBot="1">
      <c r="A33" s="61" t="s">
        <v>8</v>
      </c>
      <c r="B33" s="62"/>
      <c r="C33" s="62"/>
      <c r="D33" s="7"/>
      <c r="E33" s="24"/>
      <c r="F33" s="12"/>
      <c r="G33" s="12"/>
      <c r="H33" s="12"/>
      <c r="I33" s="12"/>
      <c r="J33" s="12"/>
      <c r="K33" s="12"/>
      <c r="L33" s="12"/>
      <c r="M33" s="12"/>
      <c r="N33" s="12"/>
      <c r="O33" s="12"/>
      <c r="P33" s="5" t="str">
        <f t="shared" si="0"/>
        <v> </v>
      </c>
    </row>
    <row r="34" spans="1:16" s="5" customFormat="1" ht="12.75">
      <c r="A34" s="63">
        <v>1</v>
      </c>
      <c r="B34" s="64" t="s">
        <v>103</v>
      </c>
      <c r="C34" s="64" t="s">
        <v>104</v>
      </c>
      <c r="D34" s="60" t="s">
        <v>5</v>
      </c>
      <c r="E34" s="96">
        <f aca="true" t="shared" si="1" ref="E34:E40">SUM(F34:O34)-SMALL(F34:O34,2)-MIN(F34:O34)</f>
        <v>210</v>
      </c>
      <c r="F34" s="207">
        <f>_xlfn.IFERROR(VLOOKUP($P34,'Rd1 Broadford'!$C$2:$AC$17,17,0),0)</f>
        <v>75</v>
      </c>
      <c r="G34" s="59">
        <f>_xlfn.IFERROR(VLOOKUP($P34,'Rd2 Winton'!$C$2:$AD$21,20,0),0)</f>
        <v>75</v>
      </c>
      <c r="H34" s="59">
        <f>_xlfn.IFERROR(VLOOKUP($P34,'[1]Rd3 Winton'!$C$2:$AC$13,17,0),0)</f>
        <v>60</v>
      </c>
      <c r="I34" s="60">
        <v>0</v>
      </c>
      <c r="J34" s="59">
        <v>0</v>
      </c>
      <c r="K34" s="59">
        <v>0</v>
      </c>
      <c r="L34" s="59">
        <v>0</v>
      </c>
      <c r="M34" s="56">
        <v>0</v>
      </c>
      <c r="N34" s="56">
        <v>0</v>
      </c>
      <c r="O34" s="56">
        <v>0</v>
      </c>
      <c r="P34" s="5" t="str">
        <f>CONCATENATE(LOWER(B34)," ",LOWER(C34))</f>
        <v>steve williamsz</v>
      </c>
    </row>
    <row r="35" spans="1:17" ht="12.75">
      <c r="A35" s="63">
        <v>2</v>
      </c>
      <c r="B35" s="64" t="s">
        <v>125</v>
      </c>
      <c r="C35" s="64" t="s">
        <v>212</v>
      </c>
      <c r="D35" s="60" t="s">
        <v>5</v>
      </c>
      <c r="E35" s="97">
        <f t="shared" si="1"/>
        <v>200</v>
      </c>
      <c r="F35" s="207">
        <f>_xlfn.IFERROR(VLOOKUP($P35,'Rd1 Broadford'!$C$2:$AC$17,17,0),0)</f>
        <v>100</v>
      </c>
      <c r="G35" s="59">
        <f>_xlfn.IFERROR(VLOOKUP($P35,'Rd2 Winton'!$C$2:$AD$21,20,0),0)</f>
        <v>100</v>
      </c>
      <c r="H35" s="59">
        <f>_xlfn.IFERROR(VLOOKUP($P35,'[1]Rd3 Winton'!$C$2:$AC$13,17,0),0)</f>
        <v>0</v>
      </c>
      <c r="I35" s="60">
        <v>0</v>
      </c>
      <c r="J35" s="59">
        <v>0</v>
      </c>
      <c r="K35" s="59">
        <v>0</v>
      </c>
      <c r="L35" s="59">
        <v>0</v>
      </c>
      <c r="M35" s="56">
        <v>0</v>
      </c>
      <c r="N35" s="56">
        <v>0</v>
      </c>
      <c r="O35" s="56">
        <v>0</v>
      </c>
      <c r="P35" s="5" t="str">
        <f>CONCATENATE(LOWER(B35)," ",LOWER(C35))</f>
        <v>ibrahim rafei</v>
      </c>
      <c r="Q35" s="15"/>
    </row>
    <row r="36" spans="1:17" ht="12.75">
      <c r="A36" s="63">
        <v>3</v>
      </c>
      <c r="B36" s="64" t="s">
        <v>128</v>
      </c>
      <c r="C36" s="64" t="s">
        <v>105</v>
      </c>
      <c r="D36" s="60" t="s">
        <v>5</v>
      </c>
      <c r="E36" s="97">
        <f t="shared" si="1"/>
        <v>190</v>
      </c>
      <c r="F36" s="207">
        <f>_xlfn.IFERROR(VLOOKUP($P36,'Rd1 Broadford'!$C$2:$AC$17,17,0),0)</f>
        <v>30</v>
      </c>
      <c r="G36" s="59">
        <f>_xlfn.IFERROR(VLOOKUP($P36,'Rd2 Winton'!$C$2:$AD$21,20,0),0)</f>
        <v>60</v>
      </c>
      <c r="H36" s="59">
        <f>_xlfn.IFERROR(VLOOKUP($P36,'[1]Rd3 Winton'!$C$2:$AC$13,17,0),0)</f>
        <v>100</v>
      </c>
      <c r="I36" s="60">
        <v>0</v>
      </c>
      <c r="J36" s="59">
        <v>0</v>
      </c>
      <c r="K36" s="59">
        <v>0</v>
      </c>
      <c r="L36" s="59">
        <v>0</v>
      </c>
      <c r="M36" s="56">
        <v>0</v>
      </c>
      <c r="N36" s="56">
        <v>0</v>
      </c>
      <c r="O36" s="56">
        <v>0</v>
      </c>
      <c r="P36" s="5" t="str">
        <f>CONCATENATE(LOWER(B36)," ",LOWER(C36))</f>
        <v>gareth pedley</v>
      </c>
      <c r="Q36" s="15"/>
    </row>
    <row r="37" spans="1:17" ht="12.75">
      <c r="A37" s="63">
        <v>4</v>
      </c>
      <c r="B37" s="64" t="s">
        <v>45</v>
      </c>
      <c r="C37" s="64" t="s">
        <v>46</v>
      </c>
      <c r="D37" s="60" t="s">
        <v>5</v>
      </c>
      <c r="E37" s="97">
        <f t="shared" si="1"/>
        <v>165</v>
      </c>
      <c r="F37" s="207">
        <f>_xlfn.IFERROR(VLOOKUP($P37,'Rd1 Broadford'!$C$2:$AC$17,17,0),0)</f>
        <v>60</v>
      </c>
      <c r="G37" s="59">
        <f>_xlfn.IFERROR(VLOOKUP($P37,'Rd2 Winton'!$C$2:$AD$21,20,0),0)</f>
        <v>30</v>
      </c>
      <c r="H37" s="59">
        <f>_xlfn.IFERROR(VLOOKUP($P37,'[1]Rd3 Winton'!$C$2:$AC$13,17,0),0)</f>
        <v>75</v>
      </c>
      <c r="I37" s="60">
        <v>0</v>
      </c>
      <c r="J37" s="59">
        <v>0</v>
      </c>
      <c r="K37" s="59">
        <v>0</v>
      </c>
      <c r="L37" s="59">
        <v>0</v>
      </c>
      <c r="M37" s="56">
        <v>0</v>
      </c>
      <c r="N37" s="56">
        <v>0</v>
      </c>
      <c r="O37" s="56">
        <v>0</v>
      </c>
      <c r="P37" s="5" t="str">
        <f>CONCATENATE(LOWER(B37)," ",LOWER(C37))</f>
        <v>simeon ouzas</v>
      </c>
      <c r="Q37" s="15"/>
    </row>
    <row r="38" spans="1:17" ht="12.75">
      <c r="A38" s="63">
        <v>5</v>
      </c>
      <c r="B38" s="64" t="s">
        <v>127</v>
      </c>
      <c r="C38" s="64" t="s">
        <v>212</v>
      </c>
      <c r="D38" s="60" t="s">
        <v>5</v>
      </c>
      <c r="E38" s="97">
        <f t="shared" si="1"/>
        <v>90</v>
      </c>
      <c r="F38" s="207">
        <f>_xlfn.IFERROR(VLOOKUP($P38,'Rd1 Broadford'!$C$2:$AC$17,17,0),0)</f>
        <v>45</v>
      </c>
      <c r="G38" s="59">
        <f>_xlfn.IFERROR(VLOOKUP($P38,'Rd2 Winton'!$C$2:$AD$21,20,0),0)</f>
        <v>45</v>
      </c>
      <c r="H38" s="59">
        <f>_xlfn.IFERROR(VLOOKUP($P38,'[1]Rd3 Winton'!$C$2:$AC$13,17,0),0)</f>
        <v>0</v>
      </c>
      <c r="I38" s="60">
        <v>0</v>
      </c>
      <c r="J38" s="59">
        <v>0</v>
      </c>
      <c r="K38" s="59">
        <v>0</v>
      </c>
      <c r="L38" s="59">
        <v>0</v>
      </c>
      <c r="M38" s="56">
        <v>0</v>
      </c>
      <c r="N38" s="56">
        <v>0</v>
      </c>
      <c r="O38" s="56">
        <v>0</v>
      </c>
      <c r="P38" s="5" t="str">
        <f>CONCATENATE(LOWER(B38)," ",LOWER(C38))</f>
        <v>allison rafei</v>
      </c>
      <c r="Q38" s="15"/>
    </row>
    <row r="39" spans="1:17" ht="12.75">
      <c r="A39" s="63">
        <v>6</v>
      </c>
      <c r="B39" s="64" t="s">
        <v>196</v>
      </c>
      <c r="C39" s="64" t="s">
        <v>135</v>
      </c>
      <c r="D39" s="60" t="s">
        <v>5</v>
      </c>
      <c r="E39" s="97">
        <f t="shared" si="1"/>
        <v>45</v>
      </c>
      <c r="F39" s="207">
        <f>_xlfn.IFERROR(VLOOKUP($P39,'Rd1 Broadford'!$C$2:$AC$17,17,0),0)</f>
        <v>0</v>
      </c>
      <c r="G39" s="59">
        <f>_xlfn.IFERROR(VLOOKUP($P39,'Rd2 Winton'!$C$2:$AD$21,20,0),0)</f>
        <v>0</v>
      </c>
      <c r="H39" s="59">
        <f>_xlfn.IFERROR(VLOOKUP($P39,'[1]Rd3 Winton'!$C$2:$AC$13,17,0),0)</f>
        <v>45</v>
      </c>
      <c r="I39" s="60">
        <v>0</v>
      </c>
      <c r="J39" s="59">
        <v>0</v>
      </c>
      <c r="K39" s="59">
        <v>0</v>
      </c>
      <c r="L39" s="59">
        <v>0</v>
      </c>
      <c r="M39" s="56">
        <v>0</v>
      </c>
      <c r="N39" s="56">
        <v>0</v>
      </c>
      <c r="O39" s="56">
        <v>0</v>
      </c>
      <c r="P39" s="5" t="str">
        <f>CONCATENATE(LOWER(B39)," ",LOWER(C39))</f>
        <v>john downes</v>
      </c>
      <c r="Q39" s="15"/>
    </row>
    <row r="40" spans="1:17" ht="13.5" thickBot="1">
      <c r="A40" s="63">
        <v>7</v>
      </c>
      <c r="B40" s="64" t="s">
        <v>106</v>
      </c>
      <c r="C40" s="64" t="s">
        <v>107</v>
      </c>
      <c r="D40" s="60" t="s">
        <v>5</v>
      </c>
      <c r="E40" s="98">
        <f t="shared" si="1"/>
        <v>15</v>
      </c>
      <c r="F40" s="207">
        <f>_xlfn.IFERROR(VLOOKUP($P40,'Rd1 Broadford'!$C$2:$AC$17,17,0),0)</f>
        <v>15</v>
      </c>
      <c r="G40" s="59">
        <f>_xlfn.IFERROR(VLOOKUP($P40,'Rd2 Winton'!$C$2:$AD$21,20,0),0)</f>
        <v>0</v>
      </c>
      <c r="H40" s="59">
        <f>_xlfn.IFERROR(VLOOKUP($P40,'[1]Rd3 Winton'!$C$2:$AC$13,17,0),0)</f>
        <v>0</v>
      </c>
      <c r="I40" s="60">
        <v>0</v>
      </c>
      <c r="J40" s="59">
        <v>0</v>
      </c>
      <c r="K40" s="59">
        <v>0</v>
      </c>
      <c r="L40" s="59">
        <v>0</v>
      </c>
      <c r="M40" s="56">
        <v>0</v>
      </c>
      <c r="N40" s="56">
        <v>0</v>
      </c>
      <c r="O40" s="56">
        <v>0</v>
      </c>
      <c r="P40" s="5" t="str">
        <f>CONCATENATE(LOWER(B40)," ",LOWER(C40))</f>
        <v>tony maslen</v>
      </c>
      <c r="Q40" s="15"/>
    </row>
    <row r="41" spans="2:17" ht="12.75">
      <c r="B41" s="18"/>
      <c r="C41" s="18"/>
      <c r="D41" s="19"/>
      <c r="E41" s="24"/>
      <c r="F41" s="4"/>
      <c r="G41" s="4"/>
      <c r="H41" s="1"/>
      <c r="I41" s="4"/>
      <c r="J41" s="4"/>
      <c r="K41" s="4"/>
      <c r="L41" s="4"/>
      <c r="M41" s="12"/>
      <c r="N41" s="12"/>
      <c r="O41" s="12"/>
      <c r="P41" s="5" t="str">
        <f aca="true" t="shared" si="2" ref="P41:P103">CONCATENATE(LOWER(B41)," ",LOWER(C41))</f>
        <v> </v>
      </c>
      <c r="Q41" s="15"/>
    </row>
    <row r="42" spans="1:17" ht="13.5" thickBot="1">
      <c r="A42" s="165" t="s">
        <v>9</v>
      </c>
      <c r="B42" s="166"/>
      <c r="C42" s="166"/>
      <c r="D42" s="15"/>
      <c r="E42" s="24"/>
      <c r="F42" s="4"/>
      <c r="G42" s="4"/>
      <c r="H42" s="5"/>
      <c r="I42" s="4"/>
      <c r="J42" s="4"/>
      <c r="K42" s="4"/>
      <c r="L42" s="4"/>
      <c r="M42" s="12"/>
      <c r="N42" s="12"/>
      <c r="O42" s="12"/>
      <c r="P42" s="5" t="str">
        <f t="shared" si="2"/>
        <v> </v>
      </c>
      <c r="Q42" s="15"/>
    </row>
    <row r="43" spans="1:17" ht="12.75">
      <c r="A43" s="156">
        <v>1</v>
      </c>
      <c r="B43" s="151"/>
      <c r="C43" s="151"/>
      <c r="D43" s="161" t="s">
        <v>4</v>
      </c>
      <c r="E43" s="152">
        <f>SUM(F43:O43)-SMALL(F43:O43,2)-MIN(F43:O43)</f>
        <v>0</v>
      </c>
      <c r="F43" s="153">
        <v>0</v>
      </c>
      <c r="G43" s="153">
        <v>0</v>
      </c>
      <c r="H43" s="153">
        <v>0</v>
      </c>
      <c r="I43" s="153">
        <v>0</v>
      </c>
      <c r="J43" s="153">
        <v>0</v>
      </c>
      <c r="K43" s="153">
        <v>0</v>
      </c>
      <c r="L43" s="153">
        <v>0</v>
      </c>
      <c r="M43" s="154">
        <v>0</v>
      </c>
      <c r="N43" s="154">
        <v>0</v>
      </c>
      <c r="O43" s="154">
        <v>0</v>
      </c>
      <c r="P43" s="5" t="str">
        <f t="shared" si="2"/>
        <v> </v>
      </c>
      <c r="Q43" s="15"/>
    </row>
    <row r="44" spans="1:17" ht="12.75">
      <c r="A44" s="156">
        <v>2</v>
      </c>
      <c r="B44" s="162"/>
      <c r="C44" s="162"/>
      <c r="D44" s="161" t="s">
        <v>4</v>
      </c>
      <c r="E44" s="155">
        <f>SUM(F44:O44)-SMALL(F44:O44,2)-MIN(F44:O44)</f>
        <v>0</v>
      </c>
      <c r="F44" s="153">
        <v>0</v>
      </c>
      <c r="G44" s="153">
        <v>0</v>
      </c>
      <c r="H44" s="153">
        <v>0</v>
      </c>
      <c r="I44" s="153">
        <v>0</v>
      </c>
      <c r="J44" s="153">
        <v>0</v>
      </c>
      <c r="K44" s="153">
        <v>0</v>
      </c>
      <c r="L44" s="153">
        <v>0</v>
      </c>
      <c r="M44" s="154">
        <v>0</v>
      </c>
      <c r="N44" s="154">
        <v>0</v>
      </c>
      <c r="O44" s="154">
        <v>0</v>
      </c>
      <c r="P44" s="5" t="str">
        <f t="shared" si="2"/>
        <v> </v>
      </c>
      <c r="Q44" s="15"/>
    </row>
    <row r="45" spans="1:17" ht="12.75">
      <c r="A45" s="156">
        <v>3</v>
      </c>
      <c r="B45" s="151"/>
      <c r="C45" s="151"/>
      <c r="D45" s="161" t="s">
        <v>4</v>
      </c>
      <c r="E45" s="155">
        <f>SUM(F45:O45)-SMALL(F45:O45,2)-MIN(F45:O45)</f>
        <v>0</v>
      </c>
      <c r="F45" s="153">
        <v>0</v>
      </c>
      <c r="G45" s="153">
        <v>0</v>
      </c>
      <c r="H45" s="153">
        <v>0</v>
      </c>
      <c r="I45" s="153">
        <v>0</v>
      </c>
      <c r="J45" s="153">
        <v>0</v>
      </c>
      <c r="K45" s="153">
        <v>0</v>
      </c>
      <c r="L45" s="153">
        <v>0</v>
      </c>
      <c r="M45" s="154">
        <v>0</v>
      </c>
      <c r="N45" s="154">
        <v>0</v>
      </c>
      <c r="O45" s="154">
        <v>0</v>
      </c>
      <c r="P45" s="5" t="str">
        <f t="shared" si="2"/>
        <v> </v>
      </c>
      <c r="Q45" s="15"/>
    </row>
    <row r="46" spans="1:17" ht="12.75">
      <c r="A46" s="156">
        <v>4</v>
      </c>
      <c r="B46" s="157"/>
      <c r="C46" s="157"/>
      <c r="D46" s="161" t="s">
        <v>4</v>
      </c>
      <c r="E46" s="155">
        <f>SUM(F46:O46)-SMALL(F46:O46,2)-MIN(F46:O46)</f>
        <v>0</v>
      </c>
      <c r="F46" s="153">
        <v>0</v>
      </c>
      <c r="G46" s="153">
        <v>0</v>
      </c>
      <c r="H46" s="153">
        <v>0</v>
      </c>
      <c r="I46" s="153">
        <v>0</v>
      </c>
      <c r="J46" s="153">
        <v>0</v>
      </c>
      <c r="K46" s="153">
        <v>0</v>
      </c>
      <c r="L46" s="153">
        <v>0</v>
      </c>
      <c r="M46" s="154">
        <v>0</v>
      </c>
      <c r="N46" s="154">
        <v>0</v>
      </c>
      <c r="O46" s="154">
        <v>0</v>
      </c>
      <c r="P46" s="5" t="str">
        <f t="shared" si="2"/>
        <v> </v>
      </c>
      <c r="Q46" s="15"/>
    </row>
    <row r="47" spans="1:17" ht="13.5" thickBot="1">
      <c r="A47" s="156">
        <v>5</v>
      </c>
      <c r="B47" s="151"/>
      <c r="C47" s="151"/>
      <c r="D47" s="161" t="s">
        <v>4</v>
      </c>
      <c r="E47" s="158">
        <f>SUM(F47:O47)-SMALL(F47:O47,2)-MIN(F47:O47)</f>
        <v>0</v>
      </c>
      <c r="F47" s="153">
        <v>0</v>
      </c>
      <c r="G47" s="153">
        <v>0</v>
      </c>
      <c r="H47" s="153">
        <v>0</v>
      </c>
      <c r="I47" s="153">
        <v>0</v>
      </c>
      <c r="J47" s="153">
        <v>0</v>
      </c>
      <c r="K47" s="153">
        <v>0</v>
      </c>
      <c r="L47" s="153">
        <v>0</v>
      </c>
      <c r="M47" s="154">
        <v>0</v>
      </c>
      <c r="N47" s="154">
        <v>0</v>
      </c>
      <c r="O47" s="154">
        <v>0</v>
      </c>
      <c r="P47" s="5" t="str">
        <f t="shared" si="2"/>
        <v> </v>
      </c>
      <c r="Q47" s="15"/>
    </row>
    <row r="48" spans="1:17" ht="12.75">
      <c r="A48" s="13"/>
      <c r="B48" s="22"/>
      <c r="C48" s="22"/>
      <c r="D48" s="23"/>
      <c r="E48" s="24"/>
      <c r="F48" s="4"/>
      <c r="G48" s="4"/>
      <c r="H48" s="4"/>
      <c r="I48" s="4"/>
      <c r="J48" s="4"/>
      <c r="K48" s="4"/>
      <c r="L48" s="4"/>
      <c r="M48" s="12"/>
      <c r="N48" s="12"/>
      <c r="O48" s="12"/>
      <c r="P48" s="5" t="str">
        <f t="shared" si="2"/>
        <v> </v>
      </c>
      <c r="Q48" s="15"/>
    </row>
    <row r="49" spans="1:17" ht="13.5" thickBot="1">
      <c r="A49" s="163" t="s">
        <v>28</v>
      </c>
      <c r="B49" s="164"/>
      <c r="C49" s="164"/>
      <c r="D49" s="15"/>
      <c r="E49" s="24"/>
      <c r="F49" s="4"/>
      <c r="G49" s="4"/>
      <c r="H49" s="5"/>
      <c r="I49" s="4"/>
      <c r="J49" s="4"/>
      <c r="K49" s="4"/>
      <c r="L49" s="4"/>
      <c r="M49" s="12"/>
      <c r="N49" s="12"/>
      <c r="O49" s="12"/>
      <c r="P49" s="5" t="str">
        <f t="shared" si="2"/>
        <v> </v>
      </c>
      <c r="Q49" s="15"/>
    </row>
    <row r="50" spans="1:17" ht="12.75">
      <c r="A50" s="148">
        <v>1</v>
      </c>
      <c r="B50" s="160" t="s">
        <v>193</v>
      </c>
      <c r="C50" s="210" t="s">
        <v>194</v>
      </c>
      <c r="D50" s="159" t="s">
        <v>65</v>
      </c>
      <c r="E50" s="144">
        <f>SUM(F50:O50)-SMALL(F50:O50,2)-MIN(F50:O50)</f>
        <v>100</v>
      </c>
      <c r="F50" s="212">
        <f>_xlfn.IFERROR(VLOOKUP($P50,'Rd1 Broadford'!$C$2:$AC$17,17,0),0)</f>
        <v>0</v>
      </c>
      <c r="G50" s="145">
        <f>_xlfn.IFERROR(VLOOKUP($P50,'Rd2 Winton'!$C$2:$AD$21,20,0),0)</f>
        <v>0</v>
      </c>
      <c r="H50" s="145">
        <f>_xlfn.IFERROR(VLOOKUP($P50,'Rd3 Winton'!$C$2:$AC$13,17,0),0)</f>
        <v>100</v>
      </c>
      <c r="I50" s="145">
        <v>0</v>
      </c>
      <c r="J50" s="145">
        <v>0</v>
      </c>
      <c r="K50" s="145">
        <v>0</v>
      </c>
      <c r="L50" s="145">
        <v>0</v>
      </c>
      <c r="M50" s="146">
        <v>0</v>
      </c>
      <c r="N50" s="146">
        <v>0</v>
      </c>
      <c r="O50" s="146">
        <v>0</v>
      </c>
      <c r="P50" s="5" t="str">
        <f t="shared" si="2"/>
        <v>randy stagno navarra</v>
      </c>
      <c r="Q50" s="15"/>
    </row>
    <row r="51" spans="1:17" ht="12.75">
      <c r="A51" s="148">
        <v>2</v>
      </c>
      <c r="B51" s="202" t="s">
        <v>41</v>
      </c>
      <c r="C51" s="202" t="s">
        <v>163</v>
      </c>
      <c r="D51" s="159" t="s">
        <v>65</v>
      </c>
      <c r="E51" s="147">
        <f>SUM(F51:O51)-SMALL(F51:O51,2)-MIN(F51:O51)</f>
        <v>100</v>
      </c>
      <c r="F51" s="212">
        <f>_xlfn.IFERROR(VLOOKUP($P51,'Rd1 Broadford'!$C$2:$AC$17,17,0),0)</f>
        <v>0</v>
      </c>
      <c r="G51" s="145">
        <f>_xlfn.IFERROR(VLOOKUP($P51,'Rd2 Winton'!$C$2:$AD$21,20,0),0)</f>
        <v>100</v>
      </c>
      <c r="H51" s="145">
        <f>_xlfn.IFERROR(VLOOKUP($P51,'Rd3 Winton'!$C$2:$AC$13,17,0),0)</f>
        <v>0</v>
      </c>
      <c r="I51" s="145">
        <v>0</v>
      </c>
      <c r="J51" s="145">
        <v>0</v>
      </c>
      <c r="K51" s="145">
        <v>0</v>
      </c>
      <c r="L51" s="145">
        <v>0</v>
      </c>
      <c r="M51" s="146">
        <v>0</v>
      </c>
      <c r="N51" s="146">
        <v>0</v>
      </c>
      <c r="O51" s="146">
        <v>0</v>
      </c>
      <c r="P51" s="5" t="str">
        <f t="shared" si="2"/>
        <v>tim edwards</v>
      </c>
      <c r="Q51" s="15"/>
    </row>
    <row r="52" spans="1:17" ht="12.75">
      <c r="A52" s="148">
        <v>3</v>
      </c>
      <c r="B52" s="143"/>
      <c r="C52" s="143"/>
      <c r="D52" s="159" t="s">
        <v>65</v>
      </c>
      <c r="E52" s="147">
        <f>SUM(F52:O52)-SMALL(F52:O52,2)-MIN(F52:O52)</f>
        <v>0</v>
      </c>
      <c r="F52" s="212">
        <f>_xlfn.IFERROR(VLOOKUP($P52,'Rd1 Broadford'!$C$2:$AC$17,17,0),0)</f>
        <v>0</v>
      </c>
      <c r="G52" s="145">
        <f>_xlfn.IFERROR(VLOOKUP($P52,'Rd2 Winton'!$C$2:$AD$21,20,0),0)</f>
        <v>0</v>
      </c>
      <c r="H52" s="145">
        <f>_xlfn.IFERROR(VLOOKUP($P52,'Rd3 Winton'!$C$2:$AC$13,17,0),0)</f>
        <v>0</v>
      </c>
      <c r="I52" s="145">
        <v>0</v>
      </c>
      <c r="J52" s="145">
        <v>0</v>
      </c>
      <c r="K52" s="145">
        <v>0</v>
      </c>
      <c r="L52" s="145">
        <v>0</v>
      </c>
      <c r="M52" s="146">
        <v>0</v>
      </c>
      <c r="N52" s="146">
        <v>0</v>
      </c>
      <c r="O52" s="146">
        <v>0</v>
      </c>
      <c r="P52" s="5" t="str">
        <f t="shared" si="2"/>
        <v> </v>
      </c>
      <c r="Q52" s="15"/>
    </row>
    <row r="53" spans="1:17" ht="12.75">
      <c r="A53" s="148">
        <v>4</v>
      </c>
      <c r="B53" s="149"/>
      <c r="C53" s="149"/>
      <c r="D53" s="159" t="s">
        <v>65</v>
      </c>
      <c r="E53" s="147">
        <f>SUM(F53:O53)-SMALL(F53:O53,2)-MIN(F53:O53)</f>
        <v>0</v>
      </c>
      <c r="F53" s="212">
        <f>_xlfn.IFERROR(VLOOKUP($P53,'Rd1 Broadford'!$C$2:$AC$17,17,0),0)</f>
        <v>0</v>
      </c>
      <c r="G53" s="145">
        <f>_xlfn.IFERROR(VLOOKUP($P53,'Rd2 Winton'!$C$2:$AD$21,20,0),0)</f>
        <v>0</v>
      </c>
      <c r="H53" s="145">
        <f>_xlfn.IFERROR(VLOOKUP($P53,'Rd3 Winton'!$C$2:$AC$13,17,0),0)</f>
        <v>0</v>
      </c>
      <c r="I53" s="145">
        <v>0</v>
      </c>
      <c r="J53" s="145">
        <v>0</v>
      </c>
      <c r="K53" s="145">
        <v>0</v>
      </c>
      <c r="L53" s="145">
        <v>0</v>
      </c>
      <c r="M53" s="146">
        <v>0</v>
      </c>
      <c r="N53" s="146">
        <v>0</v>
      </c>
      <c r="O53" s="146">
        <v>0</v>
      </c>
      <c r="P53" s="5" t="str">
        <f t="shared" si="2"/>
        <v> </v>
      </c>
      <c r="Q53" s="15"/>
    </row>
    <row r="54" spans="1:17" ht="13.5" thickBot="1">
      <c r="A54" s="148">
        <v>5</v>
      </c>
      <c r="B54" s="143"/>
      <c r="C54" s="143"/>
      <c r="D54" s="159" t="s">
        <v>65</v>
      </c>
      <c r="E54" s="150">
        <f>SUM(F54:O54)-SMALL(F54:O54,2)-MIN(F54:O54)</f>
        <v>0</v>
      </c>
      <c r="F54" s="212">
        <f>_xlfn.IFERROR(VLOOKUP($P54,'Rd1 Broadford'!$C$2:$AC$17,17,0),0)</f>
        <v>0</v>
      </c>
      <c r="G54" s="145">
        <f>_xlfn.IFERROR(VLOOKUP($P54,'Rd2 Winton'!$C$2:$AD$21,20,0),0)</f>
        <v>0</v>
      </c>
      <c r="H54" s="145">
        <f>_xlfn.IFERROR(VLOOKUP($P54,'Rd3 Winton'!$C$2:$AC$13,17,0),0)</f>
        <v>0</v>
      </c>
      <c r="I54" s="145">
        <v>0</v>
      </c>
      <c r="J54" s="145">
        <v>0</v>
      </c>
      <c r="K54" s="145">
        <v>0</v>
      </c>
      <c r="L54" s="145">
        <v>0</v>
      </c>
      <c r="M54" s="146">
        <v>0</v>
      </c>
      <c r="N54" s="146">
        <v>0</v>
      </c>
      <c r="O54" s="146">
        <v>0</v>
      </c>
      <c r="P54" s="5" t="str">
        <f t="shared" si="2"/>
        <v> </v>
      </c>
      <c r="Q54" s="15"/>
    </row>
    <row r="55" spans="1:17" ht="12.75">
      <c r="A55" s="13"/>
      <c r="B55" s="22"/>
      <c r="C55" s="22"/>
      <c r="D55" s="23"/>
      <c r="E55" s="24"/>
      <c r="F55" s="4"/>
      <c r="G55" s="4"/>
      <c r="H55" s="4"/>
      <c r="I55" s="4"/>
      <c r="J55" s="4"/>
      <c r="K55" s="4"/>
      <c r="L55" s="4"/>
      <c r="M55" s="12"/>
      <c r="N55" s="12"/>
      <c r="O55" s="12"/>
      <c r="P55" s="5" t="str">
        <f t="shared" si="2"/>
        <v> </v>
      </c>
      <c r="Q55" s="15"/>
    </row>
    <row r="56" spans="1:16" s="5" customFormat="1" ht="13.5" thickBot="1">
      <c r="A56" s="191" t="s">
        <v>26</v>
      </c>
      <c r="B56" s="182"/>
      <c r="C56" s="182"/>
      <c r="D56" s="15"/>
      <c r="E56" s="24"/>
      <c r="F56" s="4"/>
      <c r="G56" s="4"/>
      <c r="I56" s="4"/>
      <c r="J56" s="4"/>
      <c r="K56" s="4"/>
      <c r="L56" s="4"/>
      <c r="M56" s="12"/>
      <c r="N56" s="12"/>
      <c r="O56" s="12"/>
      <c r="P56" s="5" t="str">
        <f t="shared" si="2"/>
        <v> </v>
      </c>
    </row>
    <row r="57" spans="1:16" s="5" customFormat="1" ht="12.75">
      <c r="A57" s="183">
        <v>1</v>
      </c>
      <c r="B57" s="181" t="s">
        <v>134</v>
      </c>
      <c r="C57" s="181" t="s">
        <v>135</v>
      </c>
      <c r="D57" s="184" t="s">
        <v>30</v>
      </c>
      <c r="E57" s="185">
        <f>SUM(F57:O57)-SMALL(F57:O57,2)-MIN(F57:O57)</f>
        <v>300</v>
      </c>
      <c r="F57" s="208">
        <f>_xlfn.IFERROR(VLOOKUP($P57,'Rd1 Broadford'!$C$2:$AC$17,17,0),0)</f>
        <v>100</v>
      </c>
      <c r="G57" s="176">
        <f>_xlfn.IFERROR(VLOOKUP($P57,'Rd2 Winton'!$C$2:$AD$21,20,0),0)</f>
        <v>100</v>
      </c>
      <c r="H57" s="176">
        <f>_xlfn.IFERROR(VLOOKUP($P57,'Rd3 Winton'!$C$2:$AC$13,17,0),0)</f>
        <v>100</v>
      </c>
      <c r="I57" s="186">
        <v>0</v>
      </c>
      <c r="J57" s="176">
        <v>0</v>
      </c>
      <c r="K57" s="176">
        <v>0</v>
      </c>
      <c r="L57" s="176">
        <v>0</v>
      </c>
      <c r="M57" s="177">
        <v>0</v>
      </c>
      <c r="N57" s="177">
        <v>0</v>
      </c>
      <c r="O57" s="177">
        <v>0</v>
      </c>
      <c r="P57" s="5" t="str">
        <f t="shared" si="2"/>
        <v>robert downes</v>
      </c>
    </row>
    <row r="58" spans="1:16" s="5" customFormat="1" ht="12.75">
      <c r="A58" s="183">
        <v>2</v>
      </c>
      <c r="B58" s="181" t="s">
        <v>156</v>
      </c>
      <c r="C58" s="181" t="s">
        <v>155</v>
      </c>
      <c r="D58" s="184" t="s">
        <v>30</v>
      </c>
      <c r="E58" s="187">
        <f>SUM(F58:O58)-SMALL(F58:O58,2)-MIN(F58:O58)</f>
        <v>75</v>
      </c>
      <c r="F58" s="208">
        <f>_xlfn.IFERROR(VLOOKUP($P58,'Rd1 Broadford'!$C$2:$AC$17,17,0),0)</f>
        <v>0</v>
      </c>
      <c r="G58" s="176">
        <f>_xlfn.IFERROR(VLOOKUP($P58,'Rd2 Winton'!$C$2:$AD$21,20,0),0)</f>
        <v>75</v>
      </c>
      <c r="H58" s="176">
        <f>_xlfn.IFERROR(VLOOKUP($P58,'Rd3 Winton'!$C$2:$AC$13,17,0),0)</f>
        <v>0</v>
      </c>
      <c r="I58" s="186">
        <v>0</v>
      </c>
      <c r="J58" s="176">
        <v>0</v>
      </c>
      <c r="K58" s="176">
        <v>0</v>
      </c>
      <c r="L58" s="176">
        <v>0</v>
      </c>
      <c r="M58" s="177">
        <v>0</v>
      </c>
      <c r="N58" s="177">
        <v>0</v>
      </c>
      <c r="O58" s="177">
        <v>0</v>
      </c>
      <c r="P58" s="5" t="str">
        <f t="shared" si="2"/>
        <v>george vellis</v>
      </c>
    </row>
    <row r="59" spans="1:16" s="5" customFormat="1" ht="12.75">
      <c r="A59" s="183">
        <v>3</v>
      </c>
      <c r="B59" s="188"/>
      <c r="C59" s="188"/>
      <c r="D59" s="184" t="s">
        <v>30</v>
      </c>
      <c r="E59" s="187">
        <f>SUM(F59:O59)-SMALL(F59:O59,2)-MIN(F59:O59)</f>
        <v>0</v>
      </c>
      <c r="F59" s="208">
        <f>_xlfn.IFERROR(VLOOKUP($P59,'Rd1 Broadford'!$C$2:$AC$17,17,0),0)</f>
        <v>0</v>
      </c>
      <c r="G59" s="176">
        <f>_xlfn.IFERROR(VLOOKUP($P59,'Rd2 Winton'!$C$2:$AD$21,20,0),0)</f>
        <v>0</v>
      </c>
      <c r="H59" s="176">
        <f>_xlfn.IFERROR(VLOOKUP($P59,'Rd3 Winton'!$C$2:$AC$13,17,0),0)</f>
        <v>0</v>
      </c>
      <c r="I59" s="186">
        <v>0</v>
      </c>
      <c r="J59" s="176">
        <v>0</v>
      </c>
      <c r="K59" s="176">
        <v>0</v>
      </c>
      <c r="L59" s="176">
        <v>0</v>
      </c>
      <c r="M59" s="177">
        <v>0</v>
      </c>
      <c r="N59" s="177">
        <v>0</v>
      </c>
      <c r="O59" s="177">
        <v>0</v>
      </c>
      <c r="P59" s="5" t="str">
        <f t="shared" si="2"/>
        <v> </v>
      </c>
    </row>
    <row r="60" spans="1:17" s="5" customFormat="1" ht="12.75">
      <c r="A60" s="183">
        <v>4</v>
      </c>
      <c r="B60" s="188"/>
      <c r="C60" s="188"/>
      <c r="D60" s="184" t="s">
        <v>30</v>
      </c>
      <c r="E60" s="187">
        <f>SUM(F60:O60)-SMALL(F60:O60,2)-MIN(F60:O60)</f>
        <v>0</v>
      </c>
      <c r="F60" s="208">
        <f>_xlfn.IFERROR(VLOOKUP($P60,'Rd1 Broadford'!$C$2:$AC$17,17,0),0)</f>
        <v>0</v>
      </c>
      <c r="G60" s="176">
        <f>_xlfn.IFERROR(VLOOKUP($P60,'Rd2 Winton'!$C$2:$AD$21,20,0),0)</f>
        <v>0</v>
      </c>
      <c r="H60" s="176">
        <f>_xlfn.IFERROR(VLOOKUP($P60,'Rd3 Winton'!$C$2:$AC$13,17,0),0)</f>
        <v>0</v>
      </c>
      <c r="I60" s="186">
        <v>0</v>
      </c>
      <c r="J60" s="176">
        <v>0</v>
      </c>
      <c r="K60" s="176">
        <v>0</v>
      </c>
      <c r="L60" s="176">
        <v>0</v>
      </c>
      <c r="M60" s="177">
        <v>0</v>
      </c>
      <c r="N60" s="177">
        <v>0</v>
      </c>
      <c r="O60" s="177">
        <v>0</v>
      </c>
      <c r="P60" s="5" t="str">
        <f t="shared" si="2"/>
        <v> </v>
      </c>
      <c r="Q60" s="15"/>
    </row>
    <row r="61" spans="1:17" s="5" customFormat="1" ht="13.5" thickBot="1">
      <c r="A61" s="189">
        <v>5</v>
      </c>
      <c r="B61" s="188"/>
      <c r="C61" s="188"/>
      <c r="D61" s="184" t="s">
        <v>30</v>
      </c>
      <c r="E61" s="190">
        <f>SUM(F61:O61)-SMALL(F61:O61,2)-MIN(F61:O61)</f>
        <v>0</v>
      </c>
      <c r="F61" s="208">
        <f>_xlfn.IFERROR(VLOOKUP($P61,'Rd1 Broadford'!$C$2:$AC$17,17,0),0)</f>
        <v>0</v>
      </c>
      <c r="G61" s="176">
        <f>_xlfn.IFERROR(VLOOKUP($P61,'Rd2 Winton'!$C$2:$AD$21,20,0),0)</f>
        <v>0</v>
      </c>
      <c r="H61" s="176">
        <f>_xlfn.IFERROR(VLOOKUP($P61,'Rd3 Winton'!$C$2:$AC$13,17,0),0)</f>
        <v>0</v>
      </c>
      <c r="I61" s="186">
        <v>0</v>
      </c>
      <c r="J61" s="176">
        <v>0</v>
      </c>
      <c r="K61" s="176">
        <v>0</v>
      </c>
      <c r="L61" s="176">
        <v>0</v>
      </c>
      <c r="M61" s="177">
        <v>0</v>
      </c>
      <c r="N61" s="177">
        <v>0</v>
      </c>
      <c r="O61" s="177">
        <v>0</v>
      </c>
      <c r="P61" s="5" t="str">
        <f t="shared" si="2"/>
        <v> </v>
      </c>
      <c r="Q61" s="15"/>
    </row>
    <row r="62" spans="1:17" s="5" customFormat="1" ht="12.75">
      <c r="A62" s="13"/>
      <c r="B62" s="22"/>
      <c r="C62" s="22"/>
      <c r="D62" s="4"/>
      <c r="E62" s="24"/>
      <c r="F62" s="4"/>
      <c r="G62" s="4"/>
      <c r="I62" s="4"/>
      <c r="J62" s="4"/>
      <c r="K62" s="4"/>
      <c r="L62" s="4"/>
      <c r="M62" s="12"/>
      <c r="N62" s="12"/>
      <c r="O62" s="12"/>
      <c r="P62" s="5" t="str">
        <f t="shared" si="2"/>
        <v> </v>
      </c>
      <c r="Q62" s="15"/>
    </row>
    <row r="63" spans="1:16" s="5" customFormat="1" ht="13.5" thickBot="1">
      <c r="A63" s="49" t="s">
        <v>27</v>
      </c>
      <c r="B63" s="50"/>
      <c r="C63" s="50"/>
      <c r="D63" s="15"/>
      <c r="E63" s="24"/>
      <c r="F63" s="4"/>
      <c r="G63" s="4"/>
      <c r="I63" s="4"/>
      <c r="J63" s="4"/>
      <c r="K63" s="4"/>
      <c r="L63" s="4"/>
      <c r="M63" s="12"/>
      <c r="N63" s="12"/>
      <c r="O63" s="12"/>
      <c r="P63" s="5" t="str">
        <f t="shared" si="2"/>
        <v> </v>
      </c>
    </row>
    <row r="64" spans="1:16" s="5" customFormat="1" ht="12.75">
      <c r="A64" s="45">
        <v>1</v>
      </c>
      <c r="B64" s="114" t="s">
        <v>43</v>
      </c>
      <c r="C64" s="114" t="s">
        <v>44</v>
      </c>
      <c r="D64" s="92" t="s">
        <v>29</v>
      </c>
      <c r="E64" s="99">
        <f>SUM(F64:O64)-SMALL(F64:O64,2)-MIN(F64:O64)</f>
        <v>200</v>
      </c>
      <c r="F64" s="196">
        <f>_xlfn.IFERROR(VLOOKUP($P64,'Rd1 Broadford'!$C$2:$AC$17,17,0),0)</f>
        <v>100</v>
      </c>
      <c r="G64" s="47">
        <f>_xlfn.IFERROR(VLOOKUP($P64,'Rd2 Winton'!$C$2:$AD$21,20,0),0)</f>
        <v>0</v>
      </c>
      <c r="H64" s="47">
        <f>_xlfn.IFERROR(VLOOKUP($P64,'Rd3 Winton'!$C$2:$AC$13,17,0),0)</f>
        <v>100</v>
      </c>
      <c r="I64" s="46">
        <v>0</v>
      </c>
      <c r="J64" s="47">
        <v>0</v>
      </c>
      <c r="K64" s="47">
        <v>0</v>
      </c>
      <c r="L64" s="47">
        <v>0</v>
      </c>
      <c r="M64" s="39">
        <v>0</v>
      </c>
      <c r="N64" s="39">
        <v>0</v>
      </c>
      <c r="O64" s="39">
        <v>0</v>
      </c>
      <c r="P64" s="5" t="str">
        <f t="shared" si="2"/>
        <v>noel heritage</v>
      </c>
    </row>
    <row r="65" spans="1:16" s="5" customFormat="1" ht="12.75">
      <c r="A65" s="45">
        <v>2</v>
      </c>
      <c r="B65" s="114" t="s">
        <v>136</v>
      </c>
      <c r="C65" s="114" t="s">
        <v>137</v>
      </c>
      <c r="D65" s="92" t="s">
        <v>29</v>
      </c>
      <c r="E65" s="100">
        <f>SUM(F65:O65)-SMALL(F65:O65,2)-MIN(F65:O65)</f>
        <v>150</v>
      </c>
      <c r="F65" s="196">
        <f>_xlfn.IFERROR(VLOOKUP($P65,'Rd1 Broadford'!$C$2:$AC$17,17,0),0)</f>
        <v>75</v>
      </c>
      <c r="G65" s="47">
        <f>_xlfn.IFERROR(VLOOKUP($P65,'Rd2 Winton'!$C$2:$AD$21,20,0),0)</f>
        <v>0</v>
      </c>
      <c r="H65" s="47">
        <f>_xlfn.IFERROR(VLOOKUP($P65,'Rd3 Winton'!$C$2:$AC$13,17,0),0)</f>
        <v>75</v>
      </c>
      <c r="I65" s="46">
        <v>0</v>
      </c>
      <c r="J65" s="47">
        <v>0</v>
      </c>
      <c r="K65" s="47">
        <v>0</v>
      </c>
      <c r="L65" s="47">
        <v>0</v>
      </c>
      <c r="M65" s="39">
        <v>0</v>
      </c>
      <c r="N65" s="39">
        <v>0</v>
      </c>
      <c r="O65" s="39">
        <v>0</v>
      </c>
      <c r="P65" s="5" t="str">
        <f t="shared" si="2"/>
        <v>murray seymour</v>
      </c>
    </row>
    <row r="66" spans="1:16" s="5" customFormat="1" ht="12.75">
      <c r="A66" s="45">
        <v>3</v>
      </c>
      <c r="B66" s="36" t="s">
        <v>159</v>
      </c>
      <c r="C66" s="114" t="s">
        <v>160</v>
      </c>
      <c r="D66" s="92" t="s">
        <v>29</v>
      </c>
      <c r="E66" s="100">
        <f>SUM(F66:O66)-SMALL(F66:O66,2)-MIN(F66:O66)</f>
        <v>100</v>
      </c>
      <c r="F66" s="196">
        <f>_xlfn.IFERROR(VLOOKUP($P66,'Rd1 Broadford'!$C$2:$AC$17,17,0),0)</f>
        <v>0</v>
      </c>
      <c r="G66" s="47">
        <f>_xlfn.IFERROR(VLOOKUP($P66,'Rd2 Winton'!$C$2:$AD$21,20,0),0)</f>
        <v>100</v>
      </c>
      <c r="H66" s="47">
        <f>_xlfn.IFERROR(VLOOKUP($P66,'Rd3 Winton'!$C$2:$AC$13,17,0),0)</f>
        <v>0</v>
      </c>
      <c r="I66" s="46">
        <v>0</v>
      </c>
      <c r="J66" s="47">
        <v>0</v>
      </c>
      <c r="K66" s="47">
        <v>0</v>
      </c>
      <c r="L66" s="47">
        <v>0</v>
      </c>
      <c r="M66" s="39">
        <v>0</v>
      </c>
      <c r="N66" s="39">
        <v>0</v>
      </c>
      <c r="O66" s="39">
        <v>0</v>
      </c>
      <c r="P66" s="5" t="str">
        <f t="shared" si="2"/>
        <v>peter dannock</v>
      </c>
    </row>
    <row r="67" spans="1:17" ht="12.75">
      <c r="A67" s="45">
        <v>4</v>
      </c>
      <c r="B67" s="36"/>
      <c r="C67" s="36"/>
      <c r="D67" s="92" t="s">
        <v>29</v>
      </c>
      <c r="E67" s="100">
        <f>SUM(F67:O67)-SMALL(F67:O67,2)-MIN(F67:O67)</f>
        <v>0</v>
      </c>
      <c r="F67" s="196">
        <f>_xlfn.IFERROR(VLOOKUP($P67,'Rd1 Broadford'!$C$2:$AC$17,17,0),0)</f>
        <v>0</v>
      </c>
      <c r="G67" s="47">
        <f>_xlfn.IFERROR(VLOOKUP($P67,'Rd2 Winton'!$C$2:$AD$21,20,0),0)</f>
        <v>0</v>
      </c>
      <c r="H67" s="47">
        <f>_xlfn.IFERROR(VLOOKUP($P67,'Rd3 Winton'!$C$2:$AC$13,17,0),0)</f>
        <v>0</v>
      </c>
      <c r="I67" s="46">
        <v>0</v>
      </c>
      <c r="J67" s="47">
        <v>0</v>
      </c>
      <c r="K67" s="47">
        <v>0</v>
      </c>
      <c r="L67" s="47">
        <v>0</v>
      </c>
      <c r="M67" s="39">
        <v>0</v>
      </c>
      <c r="N67" s="39">
        <v>0</v>
      </c>
      <c r="O67" s="39">
        <v>0</v>
      </c>
      <c r="P67" s="5" t="str">
        <f t="shared" si="2"/>
        <v> </v>
      </c>
      <c r="Q67" s="15"/>
    </row>
    <row r="68" spans="1:17" ht="13.5" thickBot="1">
      <c r="A68" s="48">
        <v>5</v>
      </c>
      <c r="B68" s="114"/>
      <c r="C68" s="114"/>
      <c r="D68" s="92" t="s">
        <v>29</v>
      </c>
      <c r="E68" s="101">
        <f>SUM(F68:O68)-SMALL(F68:O68,2)-MIN(F68:O68)</f>
        <v>0</v>
      </c>
      <c r="F68" s="196">
        <f>_xlfn.IFERROR(VLOOKUP($P68,'Rd1 Broadford'!$C$2:$AC$17,17,0),0)</f>
        <v>0</v>
      </c>
      <c r="G68" s="47">
        <f>_xlfn.IFERROR(VLOOKUP($P68,'Rd2 Winton'!$C$2:$AD$21,20,0),0)</f>
        <v>0</v>
      </c>
      <c r="H68" s="47">
        <f>_xlfn.IFERROR(VLOOKUP($P68,'Rd3 Winton'!$C$2:$AC$13,17,0),0)</f>
        <v>0</v>
      </c>
      <c r="I68" s="46">
        <v>0</v>
      </c>
      <c r="J68" s="47">
        <v>0</v>
      </c>
      <c r="K68" s="47">
        <v>0</v>
      </c>
      <c r="L68" s="47">
        <v>0</v>
      </c>
      <c r="M68" s="39">
        <v>0</v>
      </c>
      <c r="N68" s="39">
        <v>0</v>
      </c>
      <c r="O68" s="39">
        <v>0</v>
      </c>
      <c r="P68" s="5" t="str">
        <f t="shared" si="2"/>
        <v> </v>
      </c>
      <c r="Q68" s="15"/>
    </row>
    <row r="69" spans="1:17" ht="12.75">
      <c r="A69" s="13"/>
      <c r="B69" s="22"/>
      <c r="C69" s="22"/>
      <c r="D69" s="4"/>
      <c r="E69" s="24"/>
      <c r="F69" s="4"/>
      <c r="G69" s="4"/>
      <c r="H69" s="1"/>
      <c r="I69" s="4"/>
      <c r="J69" s="4"/>
      <c r="K69" s="4"/>
      <c r="L69" s="4"/>
      <c r="M69" s="12"/>
      <c r="N69" s="12"/>
      <c r="O69" s="12"/>
      <c r="P69" s="5" t="str">
        <f t="shared" si="2"/>
        <v> </v>
      </c>
      <c r="Q69" s="15"/>
    </row>
    <row r="70" spans="1:16" s="5" customFormat="1" ht="13.5" thickBot="1">
      <c r="A70" s="54" t="s">
        <v>63</v>
      </c>
      <c r="B70" s="55"/>
      <c r="C70" s="55"/>
      <c r="D70" s="15"/>
      <c r="E70" s="24"/>
      <c r="F70" s="4"/>
      <c r="G70" s="4"/>
      <c r="I70" s="4"/>
      <c r="J70" s="4"/>
      <c r="K70" s="4"/>
      <c r="L70" s="4"/>
      <c r="M70" s="12"/>
      <c r="N70" s="12"/>
      <c r="O70" s="12"/>
      <c r="P70" s="5" t="str">
        <f t="shared" si="2"/>
        <v> </v>
      </c>
    </row>
    <row r="71" spans="1:16" s="5" customFormat="1" ht="12.75">
      <c r="A71" s="51">
        <v>1</v>
      </c>
      <c r="B71" s="122" t="s">
        <v>157</v>
      </c>
      <c r="C71" s="122" t="s">
        <v>158</v>
      </c>
      <c r="D71" s="52" t="s">
        <v>66</v>
      </c>
      <c r="E71" s="102">
        <f>SUM(F71:O71)-SMALL(F71:O71,2)-MIN(F71:O71)</f>
        <v>100</v>
      </c>
      <c r="F71" s="215">
        <f>_xlfn.IFERROR(VLOOKUP($P71,'Rd1 Broadford'!$C$2:$AC$17,17,0),0)</f>
        <v>0</v>
      </c>
      <c r="G71" s="53">
        <f>_xlfn.IFERROR(VLOOKUP($P71,'Rd2 Winton'!$C$2:$AD$21,20,0),0)</f>
        <v>100</v>
      </c>
      <c r="H71" s="53">
        <f>_xlfn.IFERROR(VLOOKUP($P71,'Rd3 Winton'!$C$2:$AC$13,17,0),0)</f>
        <v>0</v>
      </c>
      <c r="I71" s="52">
        <v>0</v>
      </c>
      <c r="J71" s="53">
        <v>0</v>
      </c>
      <c r="K71" s="53">
        <v>0</v>
      </c>
      <c r="L71" s="53">
        <v>0</v>
      </c>
      <c r="M71" s="37">
        <v>0</v>
      </c>
      <c r="N71" s="37">
        <v>0</v>
      </c>
      <c r="O71" s="37">
        <v>0</v>
      </c>
      <c r="P71" s="5" t="str">
        <f>CONCATENATE(LOWER(B71)," ",LOWER(C71))</f>
        <v>daniel white</v>
      </c>
    </row>
    <row r="72" spans="1:16" s="5" customFormat="1" ht="12.75">
      <c r="A72" s="51">
        <v>2</v>
      </c>
      <c r="B72" s="122" t="s">
        <v>161</v>
      </c>
      <c r="C72" s="122" t="s">
        <v>162</v>
      </c>
      <c r="D72" s="52" t="s">
        <v>66</v>
      </c>
      <c r="E72" s="103">
        <f>SUM(F72:O72)-SMALL(F72:O72,2)-MIN(F72:O72)</f>
        <v>75</v>
      </c>
      <c r="F72" s="215">
        <f>_xlfn.IFERROR(VLOOKUP($P72,'Rd1 Broadford'!$C$2:$AC$17,17,0),0)</f>
        <v>0</v>
      </c>
      <c r="G72" s="53">
        <f>_xlfn.IFERROR(VLOOKUP($P72,'Rd2 Winton'!$C$2:$AD$21,20,0),0)</f>
        <v>75</v>
      </c>
      <c r="H72" s="53">
        <f>_xlfn.IFERROR(VLOOKUP($P72,'Rd3 Winton'!$C$2:$AC$13,17,0),0)</f>
        <v>0</v>
      </c>
      <c r="I72" s="52">
        <v>0</v>
      </c>
      <c r="J72" s="53">
        <v>0</v>
      </c>
      <c r="K72" s="53">
        <v>0</v>
      </c>
      <c r="L72" s="53">
        <v>0</v>
      </c>
      <c r="M72" s="37">
        <v>0</v>
      </c>
      <c r="N72" s="37">
        <v>0</v>
      </c>
      <c r="O72" s="37">
        <v>0</v>
      </c>
      <c r="P72" s="5" t="str">
        <f>CONCATENATE(LOWER(B72)," ",LOWER(C72))</f>
        <v>gavin newman</v>
      </c>
    </row>
    <row r="73" spans="1:16" s="5" customFormat="1" ht="12.75">
      <c r="A73" s="51">
        <v>3</v>
      </c>
      <c r="B73" s="122"/>
      <c r="C73" s="122"/>
      <c r="D73" s="52" t="s">
        <v>66</v>
      </c>
      <c r="E73" s="103">
        <f>SUM(F73:O73)-SMALL(F73:O73,2)-MIN(F73:O73)</f>
        <v>0</v>
      </c>
      <c r="F73" s="215">
        <f>_xlfn.IFERROR(VLOOKUP($P73,'Rd1 Broadford'!$C$2:$AC$17,17,0),0)</f>
        <v>0</v>
      </c>
      <c r="G73" s="53">
        <f>_xlfn.IFERROR(VLOOKUP($P73,'Rd2 Winton'!$C$2:$AD$21,20,0),0)</f>
        <v>0</v>
      </c>
      <c r="H73" s="53">
        <f>_xlfn.IFERROR(VLOOKUP($P73,'Rd3 Winton'!$C$2:$AC$13,17,0),0)</f>
        <v>0</v>
      </c>
      <c r="I73" s="52">
        <v>0</v>
      </c>
      <c r="J73" s="53">
        <v>0</v>
      </c>
      <c r="K73" s="53">
        <v>0</v>
      </c>
      <c r="L73" s="53">
        <v>0</v>
      </c>
      <c r="M73" s="37">
        <v>0</v>
      </c>
      <c r="N73" s="37">
        <v>0</v>
      </c>
      <c r="O73" s="37">
        <v>0</v>
      </c>
      <c r="P73" s="5" t="str">
        <f>CONCATENATE(LOWER(B73)," ",LOWER(C73))</f>
        <v> </v>
      </c>
    </row>
    <row r="74" spans="1:16" s="5" customFormat="1" ht="12.75">
      <c r="A74" s="51">
        <v>4</v>
      </c>
      <c r="B74" s="122"/>
      <c r="C74" s="122"/>
      <c r="D74" s="52" t="s">
        <v>66</v>
      </c>
      <c r="E74" s="103">
        <f>SUM(F74:O74)-SMALL(F74:O74,2)-MIN(F74:O74)</f>
        <v>0</v>
      </c>
      <c r="F74" s="215">
        <f>_xlfn.IFERROR(VLOOKUP($P74,'Rd1 Broadford'!$C$2:$AC$17,17,0),0)</f>
        <v>0</v>
      </c>
      <c r="G74" s="53">
        <f>_xlfn.IFERROR(VLOOKUP($P74,'Rd2 Winton'!$C$2:$AD$21,20,0),0)</f>
        <v>0</v>
      </c>
      <c r="H74" s="53">
        <f>_xlfn.IFERROR(VLOOKUP($P74,'Rd3 Winton'!$C$2:$AC$13,17,0),0)</f>
        <v>0</v>
      </c>
      <c r="I74" s="52">
        <v>0</v>
      </c>
      <c r="J74" s="53">
        <v>0</v>
      </c>
      <c r="K74" s="53">
        <v>0</v>
      </c>
      <c r="L74" s="53">
        <v>0</v>
      </c>
      <c r="M74" s="37">
        <v>0</v>
      </c>
      <c r="N74" s="37">
        <v>0</v>
      </c>
      <c r="O74" s="37">
        <v>0</v>
      </c>
      <c r="P74" s="5" t="str">
        <f t="shared" si="2"/>
        <v> </v>
      </c>
    </row>
    <row r="75" spans="1:16" s="5" customFormat="1" ht="13.5" thickBot="1">
      <c r="A75" s="51">
        <v>5</v>
      </c>
      <c r="B75" s="122"/>
      <c r="C75" s="122"/>
      <c r="D75" s="52" t="s">
        <v>66</v>
      </c>
      <c r="E75" s="104">
        <f>SUM(F75:O75)-SMALL(F75:O75,2)-MIN(F75:O75)</f>
        <v>0</v>
      </c>
      <c r="F75" s="215">
        <f>_xlfn.IFERROR(VLOOKUP($P75,'Rd1 Broadford'!$C$2:$AC$17,17,0),0)</f>
        <v>0</v>
      </c>
      <c r="G75" s="53">
        <f>_xlfn.IFERROR(VLOOKUP($P75,'Rd2 Winton'!$C$2:$AD$21,20,0),0)</f>
        <v>0</v>
      </c>
      <c r="H75" s="53">
        <f>_xlfn.IFERROR(VLOOKUP($P75,'Rd3 Winton'!$C$2:$AC$13,17,0),0)</f>
        <v>0</v>
      </c>
      <c r="I75" s="52">
        <v>0</v>
      </c>
      <c r="J75" s="53">
        <v>0</v>
      </c>
      <c r="K75" s="53">
        <v>0</v>
      </c>
      <c r="L75" s="53">
        <v>0</v>
      </c>
      <c r="M75" s="37">
        <v>0</v>
      </c>
      <c r="N75" s="37">
        <v>0</v>
      </c>
      <c r="O75" s="37">
        <v>0</v>
      </c>
      <c r="P75" s="5" t="str">
        <f t="shared" si="2"/>
        <v> </v>
      </c>
    </row>
    <row r="76" spans="1:17" ht="12.75">
      <c r="A76" s="13"/>
      <c r="B76" s="5"/>
      <c r="C76" s="5"/>
      <c r="D76" s="23"/>
      <c r="E76" s="24"/>
      <c r="F76" s="12"/>
      <c r="G76" s="12"/>
      <c r="H76" s="1"/>
      <c r="I76" s="12"/>
      <c r="J76" s="12"/>
      <c r="K76" s="12"/>
      <c r="L76" s="4"/>
      <c r="M76" s="12"/>
      <c r="N76" s="12"/>
      <c r="O76" s="12"/>
      <c r="P76" s="5" t="str">
        <f t="shared" si="2"/>
        <v> </v>
      </c>
      <c r="Q76" s="15"/>
    </row>
    <row r="77" spans="1:16" s="5" customFormat="1" ht="13.5" thickBot="1">
      <c r="A77" s="43" t="s">
        <v>64</v>
      </c>
      <c r="B77" s="44"/>
      <c r="C77" s="44"/>
      <c r="D77" s="15"/>
      <c r="E77" s="24"/>
      <c r="F77" s="4"/>
      <c r="G77" s="4"/>
      <c r="I77" s="4"/>
      <c r="J77" s="4"/>
      <c r="K77" s="4"/>
      <c r="L77" s="4"/>
      <c r="M77" s="12"/>
      <c r="N77" s="12"/>
      <c r="O77" s="12"/>
      <c r="P77" s="5" t="str">
        <f t="shared" si="2"/>
        <v> </v>
      </c>
    </row>
    <row r="78" spans="1:16" s="5" customFormat="1" ht="12.75">
      <c r="A78" s="40">
        <v>1</v>
      </c>
      <c r="B78" s="121" t="s">
        <v>39</v>
      </c>
      <c r="C78" s="121" t="s">
        <v>40</v>
      </c>
      <c r="D78" s="41" t="s">
        <v>67</v>
      </c>
      <c r="E78" s="105">
        <f>SUM(F78:O78)-SMALL(F78:O78,2)-MIN(F78:O78)</f>
        <v>300</v>
      </c>
      <c r="F78" s="516">
        <f>_xlfn.IFERROR(VLOOKUP($P78,'Rd1 Broadford'!$C$2:$AC$17,17,0),0)</f>
        <v>100</v>
      </c>
      <c r="G78" s="42">
        <f>_xlfn.IFERROR(VLOOKUP($P78,'Rd2 Winton'!$C$2:$AD$21,20,0),0)</f>
        <v>100</v>
      </c>
      <c r="H78" s="42">
        <f>_xlfn.IFERROR(VLOOKUP($P78,'Rd3 Winton'!$C$2:$AC$13,17,0),0)</f>
        <v>100</v>
      </c>
      <c r="I78" s="41">
        <v>0</v>
      </c>
      <c r="J78" s="42">
        <v>0</v>
      </c>
      <c r="K78" s="42">
        <v>0</v>
      </c>
      <c r="L78" s="42">
        <v>0</v>
      </c>
      <c r="M78" s="38">
        <v>0</v>
      </c>
      <c r="N78" s="38">
        <v>0</v>
      </c>
      <c r="O78" s="38">
        <v>0</v>
      </c>
      <c r="P78" s="5" t="str">
        <f t="shared" si="2"/>
        <v>alan conrad</v>
      </c>
    </row>
    <row r="79" spans="1:16" s="5" customFormat="1" ht="12.75">
      <c r="A79" s="40">
        <v>2</v>
      </c>
      <c r="B79" s="121"/>
      <c r="C79" s="121"/>
      <c r="D79" s="41" t="s">
        <v>67</v>
      </c>
      <c r="E79" s="106">
        <f>SUM(F79:O79)-SMALL(F79:O79,2)-MIN(F79:O79)</f>
        <v>0</v>
      </c>
      <c r="F79" s="516">
        <f>_xlfn.IFERROR(VLOOKUP($P79,'Rd1 Broadford'!$C$2:$AC$17,17,0),0)</f>
        <v>0</v>
      </c>
      <c r="G79" s="42">
        <f>_xlfn.IFERROR(VLOOKUP($P79,'Rd2 Winton'!$C$2:$AD$21,20,0),0)</f>
        <v>0</v>
      </c>
      <c r="H79" s="42">
        <f>_xlfn.IFERROR(VLOOKUP($P79,'Rd3 Winton'!$C$2:$AC$13,17,0),0)</f>
        <v>0</v>
      </c>
      <c r="I79" s="41">
        <v>0</v>
      </c>
      <c r="J79" s="42">
        <v>0</v>
      </c>
      <c r="K79" s="42">
        <v>0</v>
      </c>
      <c r="L79" s="42">
        <v>0</v>
      </c>
      <c r="M79" s="38">
        <v>0</v>
      </c>
      <c r="N79" s="38">
        <v>0</v>
      </c>
      <c r="O79" s="38">
        <v>0</v>
      </c>
      <c r="P79" s="5" t="str">
        <f t="shared" si="2"/>
        <v> </v>
      </c>
    </row>
    <row r="80" spans="1:16" s="5" customFormat="1" ht="12.75">
      <c r="A80" s="40">
        <v>3</v>
      </c>
      <c r="B80" s="121"/>
      <c r="C80" s="121"/>
      <c r="D80" s="41" t="s">
        <v>67</v>
      </c>
      <c r="E80" s="106">
        <f>SUM(F80:O80)-SMALL(F80:O80,2)-MIN(F80:O80)</f>
        <v>0</v>
      </c>
      <c r="F80" s="516">
        <f>_xlfn.IFERROR(VLOOKUP($P80,'Rd1 Broadford'!$C$2:$AC$17,17,0),0)</f>
        <v>0</v>
      </c>
      <c r="G80" s="42">
        <f>_xlfn.IFERROR(VLOOKUP($P80,'Rd2 Winton'!$C$2:$AD$21,20,0),0)</f>
        <v>0</v>
      </c>
      <c r="H80" s="42">
        <f>_xlfn.IFERROR(VLOOKUP($P80,'Rd3 Winton'!$C$2:$AC$13,17,0),0)</f>
        <v>0</v>
      </c>
      <c r="I80" s="41">
        <v>0</v>
      </c>
      <c r="J80" s="42">
        <v>0</v>
      </c>
      <c r="K80" s="42">
        <v>0</v>
      </c>
      <c r="L80" s="42">
        <v>0</v>
      </c>
      <c r="M80" s="38">
        <v>0</v>
      </c>
      <c r="N80" s="38">
        <v>0</v>
      </c>
      <c r="O80" s="38">
        <v>0</v>
      </c>
      <c r="P80" s="5" t="str">
        <f t="shared" si="2"/>
        <v> </v>
      </c>
    </row>
    <row r="81" spans="1:16" s="5" customFormat="1" ht="12.75">
      <c r="A81" s="40">
        <v>4</v>
      </c>
      <c r="B81" s="121"/>
      <c r="C81" s="121"/>
      <c r="D81" s="41" t="s">
        <v>67</v>
      </c>
      <c r="E81" s="106">
        <f>SUM(F81:O81)-SMALL(F81:O81,2)-MIN(F81:O81)</f>
        <v>0</v>
      </c>
      <c r="F81" s="516">
        <f>_xlfn.IFERROR(VLOOKUP($P81,'Rd1 Broadford'!$C$2:$AC$17,17,0),0)</f>
        <v>0</v>
      </c>
      <c r="G81" s="42">
        <f>_xlfn.IFERROR(VLOOKUP($P81,'Rd2 Winton'!$C$2:$AD$21,20,0),0)</f>
        <v>0</v>
      </c>
      <c r="H81" s="42">
        <f>_xlfn.IFERROR(VLOOKUP($P81,'Rd3 Winton'!$C$2:$AC$13,17,0),0)</f>
        <v>0</v>
      </c>
      <c r="I81" s="41">
        <v>0</v>
      </c>
      <c r="J81" s="42">
        <v>0</v>
      </c>
      <c r="K81" s="42">
        <v>0</v>
      </c>
      <c r="L81" s="42">
        <v>0</v>
      </c>
      <c r="M81" s="38">
        <v>0</v>
      </c>
      <c r="N81" s="38">
        <v>0</v>
      </c>
      <c r="O81" s="38">
        <v>0</v>
      </c>
      <c r="P81" s="5" t="str">
        <f t="shared" si="2"/>
        <v> </v>
      </c>
    </row>
    <row r="82" spans="1:16" s="5" customFormat="1" ht="13.5" thickBot="1">
      <c r="A82" s="40">
        <v>5</v>
      </c>
      <c r="B82" s="121"/>
      <c r="C82" s="121"/>
      <c r="D82" s="41" t="s">
        <v>67</v>
      </c>
      <c r="E82" s="107">
        <f>SUM(F82:O82)-SMALL(F82:O82,2)-MIN(F82:O82)</f>
        <v>0</v>
      </c>
      <c r="F82" s="516">
        <f>_xlfn.IFERROR(VLOOKUP($P82,'Rd1 Broadford'!$C$2:$AC$17,17,0),0)</f>
        <v>0</v>
      </c>
      <c r="G82" s="42">
        <f>_xlfn.IFERROR(VLOOKUP($P82,'Rd2 Winton'!$C$2:$AD$21,20,0),0)</f>
        <v>0</v>
      </c>
      <c r="H82" s="42">
        <f>_xlfn.IFERROR(VLOOKUP($P82,'Rd3 Winton'!$C$2:$AC$13,17,0),0)</f>
        <v>0</v>
      </c>
      <c r="I82" s="41">
        <v>0</v>
      </c>
      <c r="J82" s="42">
        <v>0</v>
      </c>
      <c r="K82" s="42">
        <v>0</v>
      </c>
      <c r="L82" s="42">
        <v>0</v>
      </c>
      <c r="M82" s="38">
        <v>0</v>
      </c>
      <c r="N82" s="38">
        <v>0</v>
      </c>
      <c r="O82" s="38">
        <v>0</v>
      </c>
      <c r="P82" s="5" t="str">
        <f t="shared" si="2"/>
        <v> </v>
      </c>
    </row>
    <row r="83" spans="1:17" ht="12.75">
      <c r="A83" s="13"/>
      <c r="B83" s="5"/>
      <c r="C83" s="5"/>
      <c r="D83" s="23"/>
      <c r="E83" s="24"/>
      <c r="F83" s="12"/>
      <c r="G83" s="12"/>
      <c r="H83" s="1"/>
      <c r="I83" s="12"/>
      <c r="J83" s="12"/>
      <c r="K83" s="12"/>
      <c r="L83" s="4"/>
      <c r="M83" s="12"/>
      <c r="N83" s="12"/>
      <c r="O83" s="12"/>
      <c r="P83" s="5" t="str">
        <f t="shared" si="2"/>
        <v> </v>
      </c>
      <c r="Q83" s="15"/>
    </row>
    <row r="84" spans="1:16" s="5" customFormat="1" ht="13.5" thickBot="1">
      <c r="A84" s="167" t="s">
        <v>25</v>
      </c>
      <c r="B84" s="168"/>
      <c r="C84" s="168"/>
      <c r="D84" s="15"/>
      <c r="E84" s="24"/>
      <c r="F84" s="4"/>
      <c r="G84" s="4"/>
      <c r="I84" s="4"/>
      <c r="J84" s="4"/>
      <c r="K84" s="4"/>
      <c r="L84" s="4"/>
      <c r="M84" s="12"/>
      <c r="N84" s="12"/>
      <c r="O84" s="12"/>
      <c r="P84" s="5" t="str">
        <f t="shared" si="2"/>
        <v> </v>
      </c>
    </row>
    <row r="85" spans="1:16" s="5" customFormat="1" ht="12.75">
      <c r="A85" s="134">
        <v>1</v>
      </c>
      <c r="B85" s="140" t="s">
        <v>191</v>
      </c>
      <c r="C85" s="140" t="s">
        <v>192</v>
      </c>
      <c r="D85" s="135" t="s">
        <v>24</v>
      </c>
      <c r="E85" s="136">
        <f>SUM(F85:O85)-SMALL(F85:O85,2)-MIN(F85:O85)</f>
        <v>100</v>
      </c>
      <c r="F85" s="226">
        <f>_xlfn.IFERROR(VLOOKUP($P85,'Rd1 Broadford'!$C$2:$AC$17,17,0),0)</f>
        <v>0</v>
      </c>
      <c r="G85" s="137">
        <f>_xlfn.IFERROR(VLOOKUP($P85,'Rd2 Winton'!$C$2:$AD$21,20,0),0)</f>
        <v>0</v>
      </c>
      <c r="H85" s="137">
        <f>_xlfn.IFERROR(VLOOKUP($P85,'Rd3 Winton'!$C$2:$AC$13,17,0),0)</f>
        <v>100</v>
      </c>
      <c r="I85" s="135">
        <v>0</v>
      </c>
      <c r="J85" s="137">
        <v>0</v>
      </c>
      <c r="K85" s="137">
        <v>0</v>
      </c>
      <c r="L85" s="137">
        <v>0</v>
      </c>
      <c r="M85" s="138">
        <v>0</v>
      </c>
      <c r="N85" s="138">
        <v>0</v>
      </c>
      <c r="O85" s="138">
        <v>0</v>
      </c>
      <c r="P85" s="5" t="str">
        <f t="shared" si="2"/>
        <v>dean watchorn</v>
      </c>
    </row>
    <row r="86" spans="1:16" s="5" customFormat="1" ht="12.75">
      <c r="A86" s="134">
        <v>2</v>
      </c>
      <c r="B86" s="140"/>
      <c r="C86" s="140"/>
      <c r="D86" s="135" t="s">
        <v>24</v>
      </c>
      <c r="E86" s="139">
        <f>SUM(F86:O86)-SMALL(F86:O86,2)-MIN(F86:O86)</f>
        <v>0</v>
      </c>
      <c r="F86" s="226">
        <f>_xlfn.IFERROR(VLOOKUP($P86,'Rd1 Broadford'!$C$2:$AC$17,17,0),0)</f>
        <v>0</v>
      </c>
      <c r="G86" s="137">
        <f>_xlfn.IFERROR(VLOOKUP($P86,'Rd2 Winton'!$C$2:$AD$21,20,0),0)</f>
        <v>0</v>
      </c>
      <c r="H86" s="137">
        <f>_xlfn.IFERROR(VLOOKUP($P86,'Rd3 Winton'!$C$2:$AC$13,17,0),0)</f>
        <v>0</v>
      </c>
      <c r="I86" s="135">
        <v>0</v>
      </c>
      <c r="J86" s="137">
        <v>0</v>
      </c>
      <c r="K86" s="137">
        <v>0</v>
      </c>
      <c r="L86" s="137">
        <v>0</v>
      </c>
      <c r="M86" s="138">
        <v>0</v>
      </c>
      <c r="N86" s="138">
        <v>0</v>
      </c>
      <c r="O86" s="138">
        <v>0</v>
      </c>
      <c r="P86" s="5" t="str">
        <f t="shared" si="2"/>
        <v> </v>
      </c>
    </row>
    <row r="87" spans="1:16" s="5" customFormat="1" ht="12.75">
      <c r="A87" s="134">
        <v>3</v>
      </c>
      <c r="B87" s="140"/>
      <c r="C87" s="140"/>
      <c r="D87" s="135" t="s">
        <v>24</v>
      </c>
      <c r="E87" s="139">
        <f>SUM(F87:O87)-SMALL(F87:O87,2)-MIN(F87:O87)</f>
        <v>0</v>
      </c>
      <c r="F87" s="226">
        <f>_xlfn.IFERROR(VLOOKUP($P87,'Rd1 Broadford'!$C$2:$AC$17,17,0),0)</f>
        <v>0</v>
      </c>
      <c r="G87" s="137">
        <f>_xlfn.IFERROR(VLOOKUP($P87,'Rd2 Winton'!$C$2:$AD$21,20,0),0)</f>
        <v>0</v>
      </c>
      <c r="H87" s="137">
        <f>_xlfn.IFERROR(VLOOKUP($P87,'Rd3 Winton'!$C$2:$AC$13,17,0),0)</f>
        <v>0</v>
      </c>
      <c r="I87" s="135">
        <v>0</v>
      </c>
      <c r="J87" s="137">
        <v>0</v>
      </c>
      <c r="K87" s="137">
        <v>0</v>
      </c>
      <c r="L87" s="137">
        <v>0</v>
      </c>
      <c r="M87" s="138">
        <v>0</v>
      </c>
      <c r="N87" s="138">
        <v>0</v>
      </c>
      <c r="O87" s="138">
        <v>0</v>
      </c>
      <c r="P87" s="5" t="str">
        <f t="shared" si="2"/>
        <v> </v>
      </c>
    </row>
    <row r="88" spans="1:16" s="5" customFormat="1" ht="12.75">
      <c r="A88" s="134">
        <v>4</v>
      </c>
      <c r="B88" s="140"/>
      <c r="C88" s="140"/>
      <c r="D88" s="135" t="s">
        <v>24</v>
      </c>
      <c r="E88" s="139">
        <f>SUM(F88:O88)-SMALL(F88:O88,2)-MIN(F88:O88)</f>
        <v>0</v>
      </c>
      <c r="F88" s="226">
        <f>_xlfn.IFERROR(VLOOKUP($P88,'Rd1 Broadford'!$C$2:$AC$17,17,0),0)</f>
        <v>0</v>
      </c>
      <c r="G88" s="137">
        <f>_xlfn.IFERROR(VLOOKUP($P88,'Rd2 Winton'!$C$2:$AD$21,20,0),0)</f>
        <v>0</v>
      </c>
      <c r="H88" s="137">
        <f>_xlfn.IFERROR(VLOOKUP($P88,'Rd3 Winton'!$C$2:$AC$13,17,0),0)</f>
        <v>0</v>
      </c>
      <c r="I88" s="135">
        <v>0</v>
      </c>
      <c r="J88" s="137">
        <v>0</v>
      </c>
      <c r="K88" s="137">
        <v>0</v>
      </c>
      <c r="L88" s="137">
        <v>0</v>
      </c>
      <c r="M88" s="138">
        <v>0</v>
      </c>
      <c r="N88" s="138">
        <v>0</v>
      </c>
      <c r="O88" s="138">
        <v>0</v>
      </c>
      <c r="P88" s="5" t="str">
        <f t="shared" si="2"/>
        <v> </v>
      </c>
    </row>
    <row r="89" spans="1:16" s="5" customFormat="1" ht="13.5" thickBot="1">
      <c r="A89" s="134">
        <v>5</v>
      </c>
      <c r="B89" s="141"/>
      <c r="C89" s="141"/>
      <c r="D89" s="135" t="s">
        <v>24</v>
      </c>
      <c r="E89" s="142">
        <f>SUM(F89:O89)-SMALL(F89:O89,2)-MIN(F89:O89)</f>
        <v>0</v>
      </c>
      <c r="F89" s="226">
        <f>_xlfn.IFERROR(VLOOKUP($P89,'Rd1 Broadford'!$C$2:$AC$17,17,0),0)</f>
        <v>0</v>
      </c>
      <c r="G89" s="137">
        <f>_xlfn.IFERROR(VLOOKUP($P89,'Rd2 Winton'!$C$2:$AD$21,20,0),0)</f>
        <v>0</v>
      </c>
      <c r="H89" s="137">
        <f>_xlfn.IFERROR(VLOOKUP($P89,'Rd3 Winton'!$C$2:$AC$13,17,0),0)</f>
        <v>0</v>
      </c>
      <c r="I89" s="135">
        <v>0</v>
      </c>
      <c r="J89" s="137">
        <v>0</v>
      </c>
      <c r="K89" s="137">
        <v>0</v>
      </c>
      <c r="L89" s="137">
        <v>0</v>
      </c>
      <c r="M89" s="138">
        <v>0</v>
      </c>
      <c r="N89" s="138">
        <v>0</v>
      </c>
      <c r="O89" s="138">
        <v>0</v>
      </c>
      <c r="P89" s="5" t="str">
        <f t="shared" si="2"/>
        <v> </v>
      </c>
    </row>
    <row r="90" spans="1:17" ht="12.75">
      <c r="A90" s="3"/>
      <c r="B90" s="22"/>
      <c r="C90" s="22"/>
      <c r="D90" s="23"/>
      <c r="E90" s="24"/>
      <c r="F90" s="4"/>
      <c r="G90" s="23"/>
      <c r="H90" s="23"/>
      <c r="I90" s="23"/>
      <c r="J90" s="4"/>
      <c r="K90" s="4"/>
      <c r="L90" s="4"/>
      <c r="M90" s="12"/>
      <c r="N90" s="12"/>
      <c r="O90" s="12"/>
      <c r="P90" s="5" t="str">
        <f t="shared" si="2"/>
        <v> </v>
      </c>
      <c r="Q90" s="15"/>
    </row>
    <row r="91" spans="1:16" s="5" customFormat="1" ht="13.5" thickBot="1">
      <c r="A91" s="91" t="s">
        <v>11</v>
      </c>
      <c r="B91" s="74"/>
      <c r="C91" s="74"/>
      <c r="D91" s="23"/>
      <c r="E91" s="24"/>
      <c r="F91" s="23"/>
      <c r="G91" s="23"/>
      <c r="I91" s="12"/>
      <c r="J91" s="12"/>
      <c r="K91" s="12"/>
      <c r="L91" s="4"/>
      <c r="M91" s="12"/>
      <c r="N91" s="12"/>
      <c r="O91" s="12"/>
      <c r="P91" s="5" t="str">
        <f t="shared" si="2"/>
        <v> </v>
      </c>
    </row>
    <row r="92" spans="1:16" s="5" customFormat="1" ht="12.75">
      <c r="A92" s="80">
        <v>1</v>
      </c>
      <c r="B92" s="78" t="s">
        <v>41</v>
      </c>
      <c r="C92" s="78" t="s">
        <v>42</v>
      </c>
      <c r="D92" s="75" t="s">
        <v>13</v>
      </c>
      <c r="E92" s="108">
        <f>SUM(F92:O92)-SMALL(F92:O92,2)-MIN(F92:O92)</f>
        <v>200</v>
      </c>
      <c r="F92" s="209">
        <f>_xlfn.IFERROR(VLOOKUP($P92,'Rd1 Broadford'!$C$2:$AC$17,17,0),0)</f>
        <v>100</v>
      </c>
      <c r="G92" s="76">
        <f>_xlfn.IFERROR(VLOOKUP($P92,'Rd2 Winton'!$C$2:$AD$21,20,0),0)</f>
        <v>0</v>
      </c>
      <c r="H92" s="76">
        <f>_xlfn.IFERROR(VLOOKUP($P92,'Rd3 Winton'!$C$2:$AC$13,17,0),0)</f>
        <v>100</v>
      </c>
      <c r="I92" s="75">
        <v>0</v>
      </c>
      <c r="J92" s="79">
        <v>0</v>
      </c>
      <c r="K92" s="79">
        <v>0</v>
      </c>
      <c r="L92" s="76">
        <v>0</v>
      </c>
      <c r="M92" s="77">
        <v>0</v>
      </c>
      <c r="N92" s="77">
        <v>0</v>
      </c>
      <c r="O92" s="77">
        <v>0</v>
      </c>
      <c r="P92" s="5" t="str">
        <f t="shared" si="2"/>
        <v>tim meaden</v>
      </c>
    </row>
    <row r="93" spans="1:16" s="5" customFormat="1" ht="12.75">
      <c r="A93" s="80">
        <v>2</v>
      </c>
      <c r="B93" s="78"/>
      <c r="C93" s="78"/>
      <c r="D93" s="75" t="s">
        <v>13</v>
      </c>
      <c r="E93" s="109">
        <f>SUM(F93:O93)-SMALL(F93:O93,2)-MIN(F93:O93)</f>
        <v>0</v>
      </c>
      <c r="F93" s="209">
        <f>_xlfn.IFERROR(VLOOKUP($P93,'Rd1 Broadford'!$C$2:$AC$17,17,0),0)</f>
        <v>0</v>
      </c>
      <c r="G93" s="76">
        <f>_xlfn.IFERROR(VLOOKUP($P93,'Rd2 Winton'!$C$2:$AD$21,20,0),0)</f>
        <v>0</v>
      </c>
      <c r="H93" s="76">
        <f>_xlfn.IFERROR(VLOOKUP($P93,'Rd3 Winton'!$C$2:$AC$13,17,0),0)</f>
        <v>0</v>
      </c>
      <c r="I93" s="75">
        <v>0</v>
      </c>
      <c r="J93" s="79">
        <v>0</v>
      </c>
      <c r="K93" s="79">
        <v>0</v>
      </c>
      <c r="L93" s="76">
        <v>0</v>
      </c>
      <c r="M93" s="77">
        <v>0</v>
      </c>
      <c r="N93" s="77">
        <v>0</v>
      </c>
      <c r="O93" s="77">
        <v>0</v>
      </c>
      <c r="P93" s="5" t="str">
        <f t="shared" si="2"/>
        <v> </v>
      </c>
    </row>
    <row r="94" spans="1:17" ht="12.75">
      <c r="A94" s="80">
        <v>3</v>
      </c>
      <c r="B94" s="78"/>
      <c r="C94" s="78"/>
      <c r="D94" s="75" t="s">
        <v>13</v>
      </c>
      <c r="E94" s="109">
        <f>SUM(F94:O94)-SMALL(F94:O94,2)-MIN(F94:O94)</f>
        <v>0</v>
      </c>
      <c r="F94" s="209">
        <f>_xlfn.IFERROR(VLOOKUP($P94,'Rd1 Broadford'!$C$2:$AC$17,17,0),0)</f>
        <v>0</v>
      </c>
      <c r="G94" s="76">
        <f>_xlfn.IFERROR(VLOOKUP($P94,'Rd2 Winton'!$C$2:$AD$21,20,0),0)</f>
        <v>0</v>
      </c>
      <c r="H94" s="76">
        <f>_xlfn.IFERROR(VLOOKUP($P94,'Rd3 Winton'!$C$2:$AC$13,17,0),0)</f>
        <v>0</v>
      </c>
      <c r="I94" s="75">
        <v>0</v>
      </c>
      <c r="J94" s="79">
        <v>0</v>
      </c>
      <c r="K94" s="79">
        <v>0</v>
      </c>
      <c r="L94" s="76">
        <v>0</v>
      </c>
      <c r="M94" s="77">
        <v>0</v>
      </c>
      <c r="N94" s="77">
        <v>0</v>
      </c>
      <c r="O94" s="77">
        <v>0</v>
      </c>
      <c r="P94" s="5" t="str">
        <f t="shared" si="2"/>
        <v> </v>
      </c>
      <c r="Q94" s="15"/>
    </row>
    <row r="95" spans="1:17" ht="12.75">
      <c r="A95" s="81">
        <v>4</v>
      </c>
      <c r="B95" s="74"/>
      <c r="C95" s="74"/>
      <c r="D95" s="75" t="s">
        <v>13</v>
      </c>
      <c r="E95" s="109">
        <f>SUM(F95:O95)-SMALL(F95:O95,2)-MIN(F95:O95)</f>
        <v>0</v>
      </c>
      <c r="F95" s="209">
        <f>_xlfn.IFERROR(VLOOKUP($P95,'Rd1 Broadford'!$C$2:$AC$17,17,0),0)</f>
        <v>0</v>
      </c>
      <c r="G95" s="76">
        <f>_xlfn.IFERROR(VLOOKUP($P95,'Rd2 Winton'!$C$2:$AD$21,20,0),0)</f>
        <v>0</v>
      </c>
      <c r="H95" s="76">
        <f>_xlfn.IFERROR(VLOOKUP($P95,'Rd3 Winton'!$C$2:$AC$13,17,0),0)</f>
        <v>0</v>
      </c>
      <c r="I95" s="75">
        <v>0</v>
      </c>
      <c r="J95" s="79">
        <v>0</v>
      </c>
      <c r="K95" s="79">
        <v>0</v>
      </c>
      <c r="L95" s="76">
        <v>0</v>
      </c>
      <c r="M95" s="77">
        <v>0</v>
      </c>
      <c r="N95" s="77">
        <v>0</v>
      </c>
      <c r="O95" s="77">
        <v>0</v>
      </c>
      <c r="P95" s="5" t="str">
        <f t="shared" si="2"/>
        <v> </v>
      </c>
      <c r="Q95" s="15"/>
    </row>
    <row r="96" spans="1:17" ht="13.5" thickBot="1">
      <c r="A96" s="81">
        <v>5</v>
      </c>
      <c r="B96" s="73"/>
      <c r="C96" s="73"/>
      <c r="D96" s="75" t="s">
        <v>13</v>
      </c>
      <c r="E96" s="110">
        <f>SUM(F96:O96)-SMALL(F96:O96,2)-MIN(F96:O96)</f>
        <v>0</v>
      </c>
      <c r="F96" s="209">
        <f>_xlfn.IFERROR(VLOOKUP($P96,'Rd1 Broadford'!$C$2:$AC$17,17,0),0)</f>
        <v>0</v>
      </c>
      <c r="G96" s="76">
        <f>_xlfn.IFERROR(VLOOKUP($P96,'Rd2 Winton'!$C$2:$AD$21,20,0),0)</f>
        <v>0</v>
      </c>
      <c r="H96" s="76">
        <f>_xlfn.IFERROR(VLOOKUP($P96,'Rd3 Winton'!$C$2:$AC$13,17,0),0)</f>
        <v>0</v>
      </c>
      <c r="I96" s="75">
        <v>0</v>
      </c>
      <c r="J96" s="79">
        <v>0</v>
      </c>
      <c r="K96" s="79">
        <v>0</v>
      </c>
      <c r="L96" s="76">
        <v>0</v>
      </c>
      <c r="M96" s="77">
        <v>0</v>
      </c>
      <c r="N96" s="77">
        <v>0</v>
      </c>
      <c r="O96" s="77">
        <v>0</v>
      </c>
      <c r="P96" s="5" t="str">
        <f t="shared" si="2"/>
        <v> </v>
      </c>
      <c r="Q96" s="15"/>
    </row>
    <row r="97" spans="1:16" ht="12.75">
      <c r="A97" s="29"/>
      <c r="B97" s="11"/>
      <c r="C97" s="11"/>
      <c r="H97" s="1"/>
      <c r="I97" s="12"/>
      <c r="J97" s="12"/>
      <c r="K97" s="12"/>
      <c r="L97" s="12"/>
      <c r="M97" s="12"/>
      <c r="N97" s="12"/>
      <c r="O97" s="12"/>
      <c r="P97" s="5" t="str">
        <f t="shared" si="2"/>
        <v> </v>
      </c>
    </row>
    <row r="98" spans="1:16" s="5" customFormat="1" ht="13.5" thickBot="1">
      <c r="A98" s="67" t="s">
        <v>10</v>
      </c>
      <c r="B98" s="57"/>
      <c r="C98" s="57"/>
      <c r="D98" s="7"/>
      <c r="E98" s="24"/>
      <c r="F98" s="12"/>
      <c r="G98" s="12"/>
      <c r="I98" s="12"/>
      <c r="J98" s="12"/>
      <c r="K98" s="12"/>
      <c r="L98" s="12"/>
      <c r="M98" s="12"/>
      <c r="N98" s="12"/>
      <c r="O98" s="12"/>
      <c r="P98" s="5" t="str">
        <f t="shared" si="2"/>
        <v> </v>
      </c>
    </row>
    <row r="99" spans="1:16" s="5" customFormat="1" ht="12.75">
      <c r="A99" s="68">
        <v>1</v>
      </c>
      <c r="B99" s="124" t="s">
        <v>132</v>
      </c>
      <c r="C99" s="124" t="s">
        <v>133</v>
      </c>
      <c r="D99" s="66" t="s">
        <v>14</v>
      </c>
      <c r="E99" s="111">
        <f>SUM(F99:O99)-SMALL(F99:O99,2)-MIN(F99:O99)</f>
        <v>200</v>
      </c>
      <c r="F99" s="206">
        <f>_xlfn.IFERROR(VLOOKUP($P99,'Rd1 Broadford'!$C$2:$AC$17,17,0),0)</f>
        <v>100</v>
      </c>
      <c r="G99" s="65">
        <f>_xlfn.IFERROR(VLOOKUP($P99,'Rd2 Winton'!$C$2:$AD$21,20,0),0)</f>
        <v>100</v>
      </c>
      <c r="H99" s="65">
        <f>_xlfn.IFERROR(VLOOKUP($P99,'Rd3 Winton'!$C$2:$AC$13,17,0),0)</f>
        <v>0</v>
      </c>
      <c r="I99" s="66">
        <v>0</v>
      </c>
      <c r="J99" s="65">
        <v>0</v>
      </c>
      <c r="K99" s="65">
        <v>0</v>
      </c>
      <c r="L99" s="65">
        <v>0</v>
      </c>
      <c r="M99" s="58">
        <v>0</v>
      </c>
      <c r="N99" s="58">
        <v>0</v>
      </c>
      <c r="O99" s="58">
        <v>0</v>
      </c>
      <c r="P99" s="5" t="str">
        <f t="shared" si="2"/>
        <v>dave moore</v>
      </c>
    </row>
    <row r="100" spans="1:16" s="5" customFormat="1" ht="12.75">
      <c r="A100" s="68">
        <v>2</v>
      </c>
      <c r="B100" s="124"/>
      <c r="C100" s="124"/>
      <c r="D100" s="66" t="s">
        <v>14</v>
      </c>
      <c r="E100" s="112">
        <f>SUM(F100:O100)-SMALL(F100:O100,2)-MIN(F100:O100)</f>
        <v>0</v>
      </c>
      <c r="F100" s="206">
        <f>_xlfn.IFERROR(VLOOKUP($P100,'Rd1 Broadford'!$C$2:$AC$17,17,0),0)</f>
        <v>0</v>
      </c>
      <c r="G100" s="65">
        <f>_xlfn.IFERROR(VLOOKUP($P100,'Rd2 Winton'!$C$2:$AD$21,20,0),0)</f>
        <v>0</v>
      </c>
      <c r="H100" s="65">
        <f>_xlfn.IFERROR(VLOOKUP($P100,'Rd3 Winton'!$C$2:$AC$13,17,0),0)</f>
        <v>0</v>
      </c>
      <c r="I100" s="66">
        <v>0</v>
      </c>
      <c r="J100" s="65">
        <v>0</v>
      </c>
      <c r="K100" s="65">
        <v>0</v>
      </c>
      <c r="L100" s="65">
        <v>0</v>
      </c>
      <c r="M100" s="58">
        <v>0</v>
      </c>
      <c r="N100" s="58">
        <v>0</v>
      </c>
      <c r="O100" s="58">
        <v>0</v>
      </c>
      <c r="P100" s="5" t="str">
        <f t="shared" si="2"/>
        <v> </v>
      </c>
    </row>
    <row r="101" spans="1:16" s="5" customFormat="1" ht="12.75">
      <c r="A101" s="68">
        <v>3</v>
      </c>
      <c r="B101" s="69"/>
      <c r="C101" s="69"/>
      <c r="D101" s="66" t="s">
        <v>14</v>
      </c>
      <c r="E101" s="112">
        <f>SUM(F101:O101)-SMALL(F101:O101,2)-MIN(F101:O101)</f>
        <v>0</v>
      </c>
      <c r="F101" s="206">
        <f>_xlfn.IFERROR(VLOOKUP($P101,'Rd1 Broadford'!$C$2:$AC$17,17,0),0)</f>
        <v>0</v>
      </c>
      <c r="G101" s="65">
        <f>_xlfn.IFERROR(VLOOKUP($P101,'Rd2 Winton'!$C$2:$AD$21,20,0),0)</f>
        <v>0</v>
      </c>
      <c r="H101" s="65">
        <f>_xlfn.IFERROR(VLOOKUP($P101,'Rd3 Winton'!$C$2:$AC$13,17,0),0)</f>
        <v>0</v>
      </c>
      <c r="I101" s="66">
        <v>0</v>
      </c>
      <c r="J101" s="65">
        <v>0</v>
      </c>
      <c r="K101" s="65">
        <v>0</v>
      </c>
      <c r="L101" s="65">
        <v>0</v>
      </c>
      <c r="M101" s="58">
        <v>0</v>
      </c>
      <c r="N101" s="58">
        <v>0</v>
      </c>
      <c r="O101" s="58">
        <v>0</v>
      </c>
      <c r="P101" s="5" t="str">
        <f t="shared" si="2"/>
        <v> </v>
      </c>
    </row>
    <row r="102" spans="1:16" s="5" customFormat="1" ht="12.75">
      <c r="A102" s="68">
        <v>4</v>
      </c>
      <c r="B102" s="69"/>
      <c r="C102" s="69"/>
      <c r="D102" s="66" t="s">
        <v>14</v>
      </c>
      <c r="E102" s="112">
        <f>SUM(F102:O102)-SMALL(F102:O102,2)-MIN(F102:O102)</f>
        <v>0</v>
      </c>
      <c r="F102" s="206">
        <f>_xlfn.IFERROR(VLOOKUP($P102,'Rd1 Broadford'!$C$2:$AC$17,17,0),0)</f>
        <v>0</v>
      </c>
      <c r="G102" s="65">
        <f>_xlfn.IFERROR(VLOOKUP($P102,'Rd2 Winton'!$C$2:$AD$21,20,0),0)</f>
        <v>0</v>
      </c>
      <c r="H102" s="65">
        <f>_xlfn.IFERROR(VLOOKUP($P102,'Rd3 Winton'!$C$2:$AC$13,17,0),0)</f>
        <v>0</v>
      </c>
      <c r="I102" s="66">
        <v>0</v>
      </c>
      <c r="J102" s="65">
        <v>0</v>
      </c>
      <c r="K102" s="65">
        <v>0</v>
      </c>
      <c r="L102" s="65">
        <v>0</v>
      </c>
      <c r="M102" s="58">
        <v>0</v>
      </c>
      <c r="N102" s="58">
        <v>0</v>
      </c>
      <c r="O102" s="58">
        <v>0</v>
      </c>
      <c r="P102" s="5" t="str">
        <f t="shared" si="2"/>
        <v> </v>
      </c>
    </row>
    <row r="103" spans="1:16" s="5" customFormat="1" ht="13.5" thickBot="1">
      <c r="A103" s="68">
        <v>5</v>
      </c>
      <c r="B103" s="69"/>
      <c r="C103" s="69"/>
      <c r="D103" s="66" t="s">
        <v>14</v>
      </c>
      <c r="E103" s="113">
        <f>SUM(F103:O103)-SMALL(F103:O103,2)-MIN(F103:O103)</f>
        <v>0</v>
      </c>
      <c r="F103" s="206">
        <f>_xlfn.IFERROR(VLOOKUP($P103,'Rd1 Broadford'!$C$2:$AC$17,17,0),0)</f>
        <v>0</v>
      </c>
      <c r="G103" s="65">
        <f>_xlfn.IFERROR(VLOOKUP($P103,'Rd2 Winton'!$C$2:$AD$21,20,0),0)</f>
        <v>0</v>
      </c>
      <c r="H103" s="65">
        <f>_xlfn.IFERROR(VLOOKUP($P103,'Rd3 Winton'!$C$2:$AC$13,17,0),0)</f>
        <v>0</v>
      </c>
      <c r="I103" s="66">
        <v>0</v>
      </c>
      <c r="J103" s="65">
        <v>0</v>
      </c>
      <c r="K103" s="65">
        <v>0</v>
      </c>
      <c r="L103" s="65">
        <v>0</v>
      </c>
      <c r="M103" s="58">
        <v>0</v>
      </c>
      <c r="N103" s="58">
        <v>0</v>
      </c>
      <c r="O103" s="58">
        <v>0</v>
      </c>
      <c r="P103" s="5" t="str">
        <f t="shared" si="2"/>
        <v> </v>
      </c>
    </row>
    <row r="104" spans="2:3" ht="12.75">
      <c r="B104" s="6"/>
      <c r="C104" s="6"/>
    </row>
    <row r="105" ht="12.75">
      <c r="D105" s="17"/>
    </row>
    <row r="106" spans="4:12" ht="12.75">
      <c r="D106" s="28"/>
      <c r="E106" s="24"/>
      <c r="G106" s="20"/>
      <c r="H106" s="20"/>
      <c r="I106" s="20"/>
      <c r="J106" s="2"/>
      <c r="K106" s="20"/>
      <c r="L106" s="20"/>
    </row>
    <row r="107" spans="1:4" ht="12.75">
      <c r="A107" s="29"/>
      <c r="D107" s="17"/>
    </row>
    <row r="108" spans="2:4" ht="12.75">
      <c r="B108" s="21"/>
      <c r="C108" s="21"/>
      <c r="D108" s="17"/>
    </row>
    <row r="109" ht="12.75">
      <c r="D109" s="17"/>
    </row>
    <row r="110" ht="12.75">
      <c r="D110" s="17"/>
    </row>
    <row r="111" spans="2:4" ht="12.75">
      <c r="B111" s="6"/>
      <c r="C111" s="6"/>
      <c r="D111" s="17"/>
    </row>
    <row r="112" spans="1:4" ht="12.75">
      <c r="A112" s="29"/>
      <c r="B112" s="5"/>
      <c r="C112" s="5"/>
      <c r="D112" s="17"/>
    </row>
    <row r="113" spans="1:11" ht="12.75">
      <c r="A113" s="29"/>
      <c r="D113" s="17"/>
      <c r="G113" s="2"/>
      <c r="H113" s="2"/>
      <c r="I113" s="2"/>
      <c r="J113" s="2"/>
      <c r="K113" s="20"/>
    </row>
    <row r="114" spans="1:3" ht="12.75">
      <c r="A114" s="29"/>
      <c r="B114" s="21"/>
      <c r="C114" s="21"/>
    </row>
    <row r="115" spans="1:4" ht="12.75">
      <c r="A115" s="29"/>
      <c r="D115" s="17"/>
    </row>
    <row r="116" ht="12.75">
      <c r="A116" s="29"/>
    </row>
    <row r="117" ht="12.75">
      <c r="D117" s="17"/>
    </row>
    <row r="118" spans="1:4" ht="12.75">
      <c r="A118" s="29"/>
      <c r="D118" s="17"/>
    </row>
    <row r="119" spans="1:5" ht="12.75">
      <c r="A119" s="29"/>
      <c r="D119" s="7"/>
      <c r="E119" s="24"/>
    </row>
    <row r="120" spans="1:4" ht="12.75">
      <c r="A120" s="29"/>
      <c r="D120" s="17"/>
    </row>
    <row r="121" spans="1:5" ht="12.75">
      <c r="A121" s="29"/>
      <c r="D121" s="7"/>
      <c r="E121" s="24"/>
    </row>
    <row r="122" ht="12.75">
      <c r="A122" s="29"/>
    </row>
    <row r="123" ht="12.75">
      <c r="A123" s="29"/>
    </row>
    <row r="124" ht="12.75">
      <c r="A124" s="29"/>
    </row>
    <row r="125" ht="12.75">
      <c r="A125" s="29"/>
    </row>
    <row r="126" spans="1:3" ht="12.75">
      <c r="A126" s="29"/>
      <c r="B126" s="11"/>
      <c r="C126" s="11"/>
    </row>
    <row r="127" spans="1:5" ht="12.75">
      <c r="A127" s="29"/>
      <c r="D127" s="12"/>
      <c r="E127"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S3" sqref="S3"/>
    </sheetView>
  </sheetViews>
  <sheetFormatPr defaultColWidth="9.140625" defaultRowHeight="12.75"/>
  <cols>
    <col min="1" max="1" width="6.7109375" style="251" customWidth="1"/>
    <col min="2" max="2" width="20.8515625" style="266" bestFit="1" customWidth="1"/>
    <col min="3" max="3" width="20.8515625" style="266" hidden="1" customWidth="1"/>
    <col min="4" max="4" width="7.7109375" style="266" bestFit="1" customWidth="1"/>
    <col min="5" max="5" width="10.140625" style="266" customWidth="1"/>
    <col min="6" max="6" width="14.28125" style="266" bestFit="1" customWidth="1"/>
    <col min="7" max="7" width="8.57421875" style="266" customWidth="1"/>
    <col min="8" max="18" width="7.7109375" style="266" customWidth="1"/>
    <col min="19" max="20" width="6.7109375" style="266" customWidth="1"/>
    <col min="21" max="21" width="8.28125" style="368" customWidth="1"/>
    <col min="22" max="22" width="8.8515625" style="369" customWidth="1"/>
    <col min="23" max="23" width="8.8515625" style="368" customWidth="1"/>
    <col min="24" max="24" width="14.28125" style="266" hidden="1" customWidth="1"/>
    <col min="25" max="27" width="8.8515625" style="266" hidden="1" customWidth="1"/>
    <col min="28" max="28" width="10.8515625" style="266" hidden="1" customWidth="1"/>
    <col min="29" max="29" width="8.8515625" style="368" customWidth="1"/>
    <col min="30" max="31" width="8.8515625" style="266" customWidth="1"/>
    <col min="32" max="32" width="16.7109375" style="266" bestFit="1" customWidth="1"/>
    <col min="33" max="33" width="9.28125" style="266" bestFit="1" customWidth="1"/>
    <col min="34" max="16384" width="8.8515625" style="266" customWidth="1"/>
  </cols>
  <sheetData>
    <row r="1" spans="1:33" s="251" customFormat="1" ht="30" customHeight="1" thickBot="1">
      <c r="A1" s="229" t="s">
        <v>31</v>
      </c>
      <c r="B1" s="230" t="s">
        <v>1</v>
      </c>
      <c r="C1" s="230" t="s">
        <v>1</v>
      </c>
      <c r="D1" s="230" t="s">
        <v>2</v>
      </c>
      <c r="E1" s="231" t="s">
        <v>32</v>
      </c>
      <c r="F1" s="230"/>
      <c r="G1" s="232" t="s">
        <v>33</v>
      </c>
      <c r="H1" s="376" t="s">
        <v>14</v>
      </c>
      <c r="I1" s="377" t="s">
        <v>13</v>
      </c>
      <c r="J1" s="378" t="s">
        <v>24</v>
      </c>
      <c r="K1" s="379" t="s">
        <v>67</v>
      </c>
      <c r="L1" s="380" t="s">
        <v>66</v>
      </c>
      <c r="M1" s="381" t="s">
        <v>29</v>
      </c>
      <c r="N1" s="382" t="s">
        <v>30</v>
      </c>
      <c r="O1" s="383" t="s">
        <v>65</v>
      </c>
      <c r="P1" s="384" t="s">
        <v>4</v>
      </c>
      <c r="Q1" s="385" t="s">
        <v>5</v>
      </c>
      <c r="R1" s="386" t="s">
        <v>3</v>
      </c>
      <c r="S1" s="250" t="s">
        <v>131</v>
      </c>
      <c r="T1" s="387" t="s">
        <v>205</v>
      </c>
      <c r="U1" s="387" t="s">
        <v>108</v>
      </c>
      <c r="V1" s="388" t="s">
        <v>109</v>
      </c>
      <c r="W1" s="389" t="s">
        <v>130</v>
      </c>
      <c r="X1" s="249" t="s">
        <v>197</v>
      </c>
      <c r="Y1" s="249" t="s">
        <v>2</v>
      </c>
      <c r="Z1" s="249" t="s">
        <v>198</v>
      </c>
      <c r="AA1" s="249" t="s">
        <v>199</v>
      </c>
      <c r="AB1" s="249" t="s">
        <v>200</v>
      </c>
      <c r="AC1" s="250" t="s">
        <v>201</v>
      </c>
      <c r="AE1" s="487" t="s">
        <v>202</v>
      </c>
      <c r="AF1" s="487"/>
      <c r="AG1" s="487"/>
    </row>
    <row r="2" spans="1:33" ht="12.75">
      <c r="A2" s="488">
        <v>89</v>
      </c>
      <c r="B2" s="489" t="s">
        <v>112</v>
      </c>
      <c r="C2" s="490" t="str">
        <f aca="true" t="shared" si="0" ref="C2:C17">LOWER(B2)</f>
        <v>dave moore</v>
      </c>
      <c r="D2" s="490" t="s">
        <v>14</v>
      </c>
      <c r="E2" s="491" t="s">
        <v>82</v>
      </c>
      <c r="F2" s="491"/>
      <c r="G2" s="490" t="s">
        <v>83</v>
      </c>
      <c r="H2" s="492">
        <f>IF($D2=H$1,$S2,"")</f>
        <v>100</v>
      </c>
      <c r="I2" s="492">
        <f aca="true" t="shared" si="1" ref="I2:R6">IF($D2=I$1,$S2,"")</f>
      </c>
      <c r="J2" s="492">
        <f t="shared" si="1"/>
      </c>
      <c r="K2" s="492">
        <f t="shared" si="1"/>
      </c>
      <c r="L2" s="492">
        <f t="shared" si="1"/>
      </c>
      <c r="M2" s="492">
        <f t="shared" si="1"/>
      </c>
      <c r="N2" s="492">
        <f t="shared" si="1"/>
      </c>
      <c r="O2" s="492">
        <f t="shared" si="1"/>
      </c>
      <c r="P2" s="492">
        <f t="shared" si="1"/>
      </c>
      <c r="Q2" s="492">
        <f t="shared" si="1"/>
      </c>
      <c r="R2" s="492">
        <f t="shared" si="1"/>
      </c>
      <c r="S2" s="493">
        <f aca="true" t="shared" si="2" ref="S2:S17">_xlfn.IFERROR(VLOOKUP($Z2,Points,2,0),0)</f>
        <v>100</v>
      </c>
      <c r="T2" s="254">
        <f>AB2-S2</f>
        <v>0</v>
      </c>
      <c r="U2" s="494">
        <f>_xlfn.IFERROR(VLOOKUP(D2,BenchmarksRd1,3,0)*86400,"NotSet")</f>
        <v>67.14</v>
      </c>
      <c r="V2" s="495">
        <f>(($E2*86400)-U2)</f>
        <v>0.02199999999999136</v>
      </c>
      <c r="W2" s="496">
        <f>IF(V2&lt;=0,10,IF(V2&lt;1,5,IF(V2&lt;2,0,IF(V2&lt;3,-5,-10))))</f>
        <v>5</v>
      </c>
      <c r="X2" s="263">
        <f aca="true" t="shared" si="3" ref="X2:X17">_xlfn.IFERROR(VLOOKUP(D2,Class,4,0),"n/a")</f>
        <v>7</v>
      </c>
      <c r="Y2" s="263">
        <f aca="true" t="shared" si="4" ref="Y2:Y17">_xlfn.IFERROR(VLOOKUP(D2,Class,3,0),"n/a")</f>
        <v>11</v>
      </c>
      <c r="Z2" s="263">
        <f>IF($Y2="n/a","",_xlfn.IFERROR(COUNTIF($Y$2:$Y2,"="&amp;Y2),""))</f>
        <v>1</v>
      </c>
      <c r="AA2" s="263">
        <f>COUNTIF($X1:X$2,"&lt;"&amp;X2)</f>
        <v>0</v>
      </c>
      <c r="AB2" s="264">
        <f aca="true" t="shared" si="5" ref="AB2:AB17">IF($Y2="n/a",0,_xlfn.IFERROR(VLOOKUP(Z2+AA2,Points,2,0),15))</f>
        <v>100</v>
      </c>
      <c r="AC2" s="497">
        <f aca="true" t="shared" si="6" ref="AC2:AC17">(S2+T2+W2)</f>
        <v>105</v>
      </c>
      <c r="AE2" s="267" t="s">
        <v>3</v>
      </c>
      <c r="AF2" s="498" t="s">
        <v>174</v>
      </c>
      <c r="AG2" s="499">
        <v>0.0011239236111111111</v>
      </c>
    </row>
    <row r="3" spans="1:33" ht="12.75">
      <c r="A3" s="414">
        <v>555</v>
      </c>
      <c r="B3" s="500" t="s">
        <v>113</v>
      </c>
      <c r="C3" s="416" t="str">
        <f t="shared" si="0"/>
        <v>tim meaden</v>
      </c>
      <c r="D3" s="416" t="s">
        <v>13</v>
      </c>
      <c r="E3" s="417" t="s">
        <v>84</v>
      </c>
      <c r="F3" s="417"/>
      <c r="G3" s="416" t="s">
        <v>36</v>
      </c>
      <c r="H3" s="418">
        <f>IF($D3=H$1,$S3,"")</f>
      </c>
      <c r="I3" s="418">
        <f t="shared" si="1"/>
        <v>100</v>
      </c>
      <c r="J3" s="418">
        <f t="shared" si="1"/>
      </c>
      <c r="K3" s="418">
        <f t="shared" si="1"/>
      </c>
      <c r="L3" s="418">
        <f t="shared" si="1"/>
      </c>
      <c r="M3" s="418">
        <f t="shared" si="1"/>
      </c>
      <c r="N3" s="418">
        <f t="shared" si="1"/>
      </c>
      <c r="O3" s="418">
        <f t="shared" si="1"/>
      </c>
      <c r="P3" s="418">
        <f t="shared" si="1"/>
      </c>
      <c r="Q3" s="418">
        <f t="shared" si="1"/>
      </c>
      <c r="R3" s="418">
        <f t="shared" si="1"/>
      </c>
      <c r="S3" s="283">
        <f t="shared" si="2"/>
        <v>100</v>
      </c>
      <c r="T3" s="414">
        <f>AB3-S3</f>
        <v>0</v>
      </c>
      <c r="U3" s="420">
        <f>_xlfn.IFERROR(VLOOKUP(D3,BenchmarksRd1,3,0)*86400,"NotSet")</f>
        <v>66.983</v>
      </c>
      <c r="V3" s="421">
        <f aca="true" t="shared" si="7" ref="V3:V17">(($E3*86400)-U3)</f>
        <v>2.698999999999998</v>
      </c>
      <c r="W3" s="422">
        <f aca="true" t="shared" si="8" ref="W3:W17">IF(V3&lt;=0,10,IF(V3&lt;1,5,IF(V3&lt;2,0,IF(V3&lt;3,-5,-10))))</f>
        <v>-5</v>
      </c>
      <c r="X3" s="277">
        <f t="shared" si="3"/>
        <v>6</v>
      </c>
      <c r="Y3" s="277">
        <f t="shared" si="4"/>
        <v>10</v>
      </c>
      <c r="Z3" s="277">
        <f>IF($Y3="n/a","",_xlfn.IFERROR(COUNTIF($Y$2:$Y3,"="&amp;Y3),""))</f>
        <v>1</v>
      </c>
      <c r="AA3" s="277">
        <f>COUNTIF($X$2:X2,"&lt;"&amp;X3)</f>
        <v>0</v>
      </c>
      <c r="AB3" s="278">
        <f t="shared" si="5"/>
        <v>100</v>
      </c>
      <c r="AC3" s="501">
        <f t="shared" si="6"/>
        <v>95</v>
      </c>
      <c r="AE3" s="280" t="s">
        <v>5</v>
      </c>
      <c r="AF3" s="413" t="s">
        <v>213</v>
      </c>
      <c r="AG3" s="282">
        <v>0.000844699074074074</v>
      </c>
    </row>
    <row r="4" spans="1:33" ht="12.75">
      <c r="A4" s="283">
        <v>50</v>
      </c>
      <c r="B4" s="502" t="s">
        <v>124</v>
      </c>
      <c r="C4" s="285" t="str">
        <f t="shared" si="0"/>
        <v>alan conrad</v>
      </c>
      <c r="D4" s="285" t="s">
        <v>67</v>
      </c>
      <c r="E4" s="407" t="s">
        <v>85</v>
      </c>
      <c r="F4" s="407" t="s">
        <v>110</v>
      </c>
      <c r="G4" s="285" t="s">
        <v>86</v>
      </c>
      <c r="H4" s="409">
        <f>IF($D4=H$1,$S4,"")</f>
      </c>
      <c r="I4" s="409">
        <f t="shared" si="1"/>
      </c>
      <c r="J4" s="409">
        <f t="shared" si="1"/>
      </c>
      <c r="K4" s="409">
        <f t="shared" si="1"/>
        <v>100</v>
      </c>
      <c r="L4" s="409">
        <f t="shared" si="1"/>
      </c>
      <c r="M4" s="409">
        <f t="shared" si="1"/>
      </c>
      <c r="N4" s="409">
        <f t="shared" si="1"/>
      </c>
      <c r="O4" s="409">
        <f t="shared" si="1"/>
      </c>
      <c r="P4" s="409">
        <f t="shared" si="1"/>
      </c>
      <c r="Q4" s="409">
        <f t="shared" si="1"/>
      </c>
      <c r="R4" s="409">
        <f t="shared" si="1"/>
      </c>
      <c r="S4" s="283">
        <f t="shared" si="2"/>
        <v>100</v>
      </c>
      <c r="T4" s="283">
        <f>AB4-S4</f>
        <v>0</v>
      </c>
      <c r="U4" s="411" t="s">
        <v>111</v>
      </c>
      <c r="V4" s="412"/>
      <c r="W4" s="279">
        <v>0</v>
      </c>
      <c r="X4" s="277">
        <f t="shared" si="3"/>
        <v>4</v>
      </c>
      <c r="Y4" s="277">
        <f t="shared" si="4"/>
        <v>8</v>
      </c>
      <c r="Z4" s="277">
        <f>IF($Y4="n/a","",_xlfn.IFERROR(COUNTIF($Y$2:$Y4,"="&amp;Y4),""))</f>
        <v>1</v>
      </c>
      <c r="AA4" s="277">
        <f>COUNTIF($X$2:X3,"&lt;"&amp;X4)</f>
        <v>0</v>
      </c>
      <c r="AB4" s="278">
        <f t="shared" si="5"/>
        <v>100</v>
      </c>
      <c r="AC4" s="501">
        <f t="shared" si="6"/>
        <v>100</v>
      </c>
      <c r="AE4" s="290" t="s">
        <v>4</v>
      </c>
      <c r="AF4" s="423" t="s">
        <v>214</v>
      </c>
      <c r="AG4" s="292">
        <v>0.0008065972222222221</v>
      </c>
    </row>
    <row r="5" spans="1:33" ht="12.75">
      <c r="A5" s="270">
        <v>124</v>
      </c>
      <c r="B5" s="503" t="s">
        <v>114</v>
      </c>
      <c r="C5" s="273" t="str">
        <f t="shared" si="0"/>
        <v>ray monik</v>
      </c>
      <c r="D5" s="273" t="s">
        <v>34</v>
      </c>
      <c r="E5" s="451" t="s">
        <v>87</v>
      </c>
      <c r="F5" s="451"/>
      <c r="G5" s="273" t="s">
        <v>36</v>
      </c>
      <c r="H5" s="452">
        <f>IF($D5=H$1,$S5,"")</f>
      </c>
      <c r="I5" s="452">
        <f t="shared" si="1"/>
      </c>
      <c r="J5" s="452">
        <f t="shared" si="1"/>
      </c>
      <c r="K5" s="452">
        <f t="shared" si="1"/>
      </c>
      <c r="L5" s="452">
        <f t="shared" si="1"/>
      </c>
      <c r="M5" s="452">
        <f t="shared" si="1"/>
      </c>
      <c r="N5" s="452">
        <f t="shared" si="1"/>
      </c>
      <c r="O5" s="452">
        <f t="shared" si="1"/>
      </c>
      <c r="P5" s="452">
        <f t="shared" si="1"/>
      </c>
      <c r="Q5" s="452">
        <f t="shared" si="1"/>
      </c>
      <c r="R5" s="452">
        <f t="shared" si="1"/>
      </c>
      <c r="S5" s="283">
        <f t="shared" si="2"/>
        <v>0</v>
      </c>
      <c r="T5" s="302"/>
      <c r="U5" s="454"/>
      <c r="V5" s="455"/>
      <c r="W5" s="456"/>
      <c r="X5" s="277" t="str">
        <f t="shared" si="3"/>
        <v>n/a</v>
      </c>
      <c r="Y5" s="277" t="str">
        <f t="shared" si="4"/>
        <v>n/a</v>
      </c>
      <c r="Z5" s="277">
        <f>IF($Y5="n/a","",_xlfn.IFERROR(COUNTIF($Y$2:$Y5,"="&amp;Y5),""))</f>
      </c>
      <c r="AA5" s="277">
        <f>COUNTIF($X$2:X4,"&lt;"&amp;X5)</f>
        <v>0</v>
      </c>
      <c r="AB5" s="278">
        <f t="shared" si="5"/>
        <v>0</v>
      </c>
      <c r="AC5" s="501">
        <f t="shared" si="6"/>
        <v>0</v>
      </c>
      <c r="AE5" s="299" t="s">
        <v>65</v>
      </c>
      <c r="AF5" s="432"/>
      <c r="AG5" s="504"/>
    </row>
    <row r="6" spans="1:33" ht="12.75">
      <c r="A6" s="349">
        <v>62</v>
      </c>
      <c r="B6" s="505" t="s">
        <v>115</v>
      </c>
      <c r="C6" s="351" t="str">
        <f t="shared" si="0"/>
        <v>noel heritage</v>
      </c>
      <c r="D6" s="351" t="s">
        <v>29</v>
      </c>
      <c r="E6" s="506" t="s">
        <v>88</v>
      </c>
      <c r="F6" s="506" t="s">
        <v>110</v>
      </c>
      <c r="G6" s="351" t="s">
        <v>36</v>
      </c>
      <c r="H6" s="435">
        <f>IF($D6=H$1,$S6,"")</f>
      </c>
      <c r="I6" s="435">
        <f t="shared" si="1"/>
      </c>
      <c r="J6" s="435">
        <f t="shared" si="1"/>
      </c>
      <c r="K6" s="435">
        <f t="shared" si="1"/>
      </c>
      <c r="L6" s="435">
        <f t="shared" si="1"/>
      </c>
      <c r="M6" s="435">
        <f t="shared" si="1"/>
        <v>100</v>
      </c>
      <c r="N6" s="435">
        <f t="shared" si="1"/>
      </c>
      <c r="O6" s="435">
        <f t="shared" si="1"/>
      </c>
      <c r="P6" s="435">
        <f t="shared" si="1"/>
      </c>
      <c r="Q6" s="435">
        <f t="shared" si="1"/>
      </c>
      <c r="R6" s="435">
        <f t="shared" si="1"/>
      </c>
      <c r="S6" s="283">
        <f t="shared" si="2"/>
        <v>100</v>
      </c>
      <c r="T6" s="349">
        <f>AB6-S6</f>
        <v>0</v>
      </c>
      <c r="U6" s="437">
        <f>_xlfn.IFERROR(VLOOKUP(D6,BenchmarksRd1,3,0)*86400,"NotSet")</f>
        <v>72.31000000000002</v>
      </c>
      <c r="V6" s="438">
        <f t="shared" si="7"/>
        <v>-0.08800000000002228</v>
      </c>
      <c r="W6" s="439">
        <f t="shared" si="8"/>
        <v>10</v>
      </c>
      <c r="X6" s="277">
        <f t="shared" si="3"/>
        <v>2</v>
      </c>
      <c r="Y6" s="277">
        <f t="shared" si="4"/>
        <v>4</v>
      </c>
      <c r="Z6" s="277">
        <f>IF($Y6="n/a","",_xlfn.IFERROR(COUNTIF($Y$2:$Y6,"="&amp;Y6),""))</f>
        <v>1</v>
      </c>
      <c r="AA6" s="277">
        <f>COUNTIF($X$2:X5,"&lt;"&amp;X6)</f>
        <v>0</v>
      </c>
      <c r="AB6" s="278">
        <f t="shared" si="5"/>
        <v>100</v>
      </c>
      <c r="AC6" s="501">
        <f t="shared" si="6"/>
        <v>110</v>
      </c>
      <c r="AE6" s="308" t="s">
        <v>30</v>
      </c>
      <c r="AF6" s="507" t="s">
        <v>207</v>
      </c>
      <c r="AG6" s="311">
        <v>0.0008333101851851852</v>
      </c>
    </row>
    <row r="7" spans="1:33" ht="12.75">
      <c r="A7" s="508">
        <v>26</v>
      </c>
      <c r="B7" s="509" t="s">
        <v>116</v>
      </c>
      <c r="C7" s="295" t="str">
        <f t="shared" si="0"/>
        <v>robert downes</v>
      </c>
      <c r="D7" s="295" t="s">
        <v>30</v>
      </c>
      <c r="E7" s="443" t="s">
        <v>89</v>
      </c>
      <c r="F7" s="443"/>
      <c r="G7" s="295" t="s">
        <v>36</v>
      </c>
      <c r="H7" s="444">
        <f aca="true" t="shared" si="9" ref="H7:R17">IF($D7=H$1,$S7,"")</f>
      </c>
      <c r="I7" s="444">
        <f t="shared" si="9"/>
      </c>
      <c r="J7" s="444">
        <f t="shared" si="9"/>
      </c>
      <c r="K7" s="444">
        <f t="shared" si="9"/>
      </c>
      <c r="L7" s="444">
        <f t="shared" si="9"/>
      </c>
      <c r="M7" s="444">
        <f t="shared" si="9"/>
      </c>
      <c r="N7" s="444">
        <f t="shared" si="9"/>
        <v>100</v>
      </c>
      <c r="O7" s="444">
        <f t="shared" si="9"/>
      </c>
      <c r="P7" s="444">
        <f t="shared" si="9"/>
      </c>
      <c r="Q7" s="444">
        <f t="shared" si="9"/>
      </c>
      <c r="R7" s="444">
        <f t="shared" si="9"/>
      </c>
      <c r="S7" s="283">
        <f t="shared" si="2"/>
        <v>100</v>
      </c>
      <c r="T7" s="293">
        <f>AB7-S7</f>
        <v>0</v>
      </c>
      <c r="U7" s="446">
        <f>_xlfn.IFERROR(VLOOKUP(D7,BenchmarksRd1,3,0)*86400,"NotSet")</f>
        <v>71.998</v>
      </c>
      <c r="V7" s="447">
        <f t="shared" si="7"/>
        <v>1.3259999999999934</v>
      </c>
      <c r="W7" s="448">
        <f t="shared" si="8"/>
        <v>0</v>
      </c>
      <c r="X7" s="277">
        <f t="shared" si="3"/>
        <v>2</v>
      </c>
      <c r="Y7" s="277">
        <f t="shared" si="4"/>
        <v>3</v>
      </c>
      <c r="Z7" s="277">
        <f>IF($Y7="n/a","",_xlfn.IFERROR(COUNTIF($Y$2:$Y7,"="&amp;Y7),""))</f>
        <v>1</v>
      </c>
      <c r="AA7" s="277">
        <f>COUNTIF($X$2:X6,"&lt;"&amp;X7)</f>
        <v>0</v>
      </c>
      <c r="AB7" s="278">
        <f t="shared" si="5"/>
        <v>100</v>
      </c>
      <c r="AC7" s="501">
        <f t="shared" si="6"/>
        <v>100</v>
      </c>
      <c r="AE7" s="312" t="s">
        <v>29</v>
      </c>
      <c r="AF7" s="449" t="s">
        <v>172</v>
      </c>
      <c r="AG7" s="314">
        <v>0.0008369212962962964</v>
      </c>
    </row>
    <row r="8" spans="1:33" ht="12.75">
      <c r="A8" s="315">
        <v>28</v>
      </c>
      <c r="B8" s="510" t="s">
        <v>203</v>
      </c>
      <c r="C8" s="317" t="str">
        <f t="shared" si="0"/>
        <v>ibrahim rafei</v>
      </c>
      <c r="D8" s="317" t="s">
        <v>5</v>
      </c>
      <c r="E8" s="459" t="s">
        <v>90</v>
      </c>
      <c r="F8" s="459"/>
      <c r="G8" s="317" t="s">
        <v>86</v>
      </c>
      <c r="H8" s="460">
        <f t="shared" si="9"/>
      </c>
      <c r="I8" s="460">
        <f t="shared" si="9"/>
      </c>
      <c r="J8" s="460">
        <f t="shared" si="9"/>
      </c>
      <c r="K8" s="460">
        <f t="shared" si="9"/>
      </c>
      <c r="L8" s="460">
        <f t="shared" si="9"/>
      </c>
      <c r="M8" s="460">
        <f t="shared" si="9"/>
      </c>
      <c r="N8" s="460">
        <f t="shared" si="9"/>
      </c>
      <c r="O8" s="460">
        <f t="shared" si="9"/>
      </c>
      <c r="P8" s="460">
        <f t="shared" si="9"/>
      </c>
      <c r="Q8" s="460">
        <f t="shared" si="9"/>
        <v>100</v>
      </c>
      <c r="R8" s="460">
        <f t="shared" si="9"/>
      </c>
      <c r="S8" s="283">
        <f t="shared" si="2"/>
        <v>100</v>
      </c>
      <c r="T8" s="315">
        <f>AB8-S8</f>
        <v>0</v>
      </c>
      <c r="U8" s="462">
        <f>_xlfn.IFERROR(VLOOKUP(D8,BenchmarksRd1,3,0)*86400,"NotSet")</f>
        <v>72.982</v>
      </c>
      <c r="V8" s="463">
        <f t="shared" si="7"/>
        <v>1.1089999999999947</v>
      </c>
      <c r="W8" s="464">
        <f t="shared" si="8"/>
        <v>0</v>
      </c>
      <c r="X8" s="277">
        <f t="shared" si="3"/>
        <v>1</v>
      </c>
      <c r="Y8" s="277">
        <f t="shared" si="4"/>
        <v>2</v>
      </c>
      <c r="Z8" s="277">
        <f>IF($Y8="n/a","",_xlfn.IFERROR(COUNTIF($Y$2:$Y8,"="&amp;Y8),""))</f>
        <v>1</v>
      </c>
      <c r="AA8" s="277">
        <f>COUNTIF($X$2:X7,"&lt;"&amp;X8)</f>
        <v>0</v>
      </c>
      <c r="AB8" s="278">
        <f t="shared" si="5"/>
        <v>100</v>
      </c>
      <c r="AC8" s="501">
        <f t="shared" si="6"/>
        <v>100</v>
      </c>
      <c r="AE8" s="321" t="s">
        <v>66</v>
      </c>
      <c r="AF8" s="511"/>
      <c r="AG8" s="512"/>
    </row>
    <row r="9" spans="1:33" ht="12.75">
      <c r="A9" s="270">
        <v>205</v>
      </c>
      <c r="B9" s="503" t="s">
        <v>117</v>
      </c>
      <c r="C9" s="273" t="str">
        <f t="shared" si="0"/>
        <v>john reid</v>
      </c>
      <c r="D9" s="273" t="s">
        <v>34</v>
      </c>
      <c r="E9" s="451" t="s">
        <v>91</v>
      </c>
      <c r="F9" s="451"/>
      <c r="G9" s="273" t="s">
        <v>92</v>
      </c>
      <c r="H9" s="452">
        <f t="shared" si="9"/>
      </c>
      <c r="I9" s="452">
        <f t="shared" si="9"/>
      </c>
      <c r="J9" s="452">
        <f t="shared" si="9"/>
      </c>
      <c r="K9" s="452">
        <f t="shared" si="9"/>
      </c>
      <c r="L9" s="452">
        <f t="shared" si="9"/>
      </c>
      <c r="M9" s="452">
        <f t="shared" si="9"/>
      </c>
      <c r="N9" s="452">
        <f t="shared" si="9"/>
      </c>
      <c r="O9" s="452">
        <f t="shared" si="9"/>
      </c>
      <c r="P9" s="452">
        <f t="shared" si="9"/>
      </c>
      <c r="Q9" s="452">
        <f t="shared" si="9"/>
      </c>
      <c r="R9" s="452">
        <f t="shared" si="9"/>
      </c>
      <c r="S9" s="283">
        <f t="shared" si="2"/>
        <v>0</v>
      </c>
      <c r="T9" s="302"/>
      <c r="U9" s="454"/>
      <c r="V9" s="455"/>
      <c r="W9" s="456"/>
      <c r="X9" s="277" t="str">
        <f t="shared" si="3"/>
        <v>n/a</v>
      </c>
      <c r="Y9" s="277" t="str">
        <f t="shared" si="4"/>
        <v>n/a</v>
      </c>
      <c r="Z9" s="277">
        <f>IF($Y9="n/a","",_xlfn.IFERROR(COUNTIF($Y$2:$Y9,"="&amp;Y9),""))</f>
      </c>
      <c r="AA9" s="277">
        <f>COUNTIF($X$2:X8,"&lt;"&amp;X9)</f>
        <v>0</v>
      </c>
      <c r="AB9" s="278">
        <f t="shared" si="5"/>
        <v>0</v>
      </c>
      <c r="AC9" s="501">
        <f t="shared" si="6"/>
        <v>0</v>
      </c>
      <c r="AE9" s="330" t="s">
        <v>67</v>
      </c>
      <c r="AF9" s="406"/>
      <c r="AG9" s="513"/>
    </row>
    <row r="10" spans="1:33" ht="12.75">
      <c r="A10" s="315">
        <v>29</v>
      </c>
      <c r="B10" s="510" t="s">
        <v>126</v>
      </c>
      <c r="C10" s="317" t="str">
        <f t="shared" si="0"/>
        <v>steve williamsz</v>
      </c>
      <c r="D10" s="317" t="s">
        <v>5</v>
      </c>
      <c r="E10" s="459" t="s">
        <v>93</v>
      </c>
      <c r="F10" s="459"/>
      <c r="G10" s="317" t="s">
        <v>38</v>
      </c>
      <c r="H10" s="460">
        <f t="shared" si="9"/>
      </c>
      <c r="I10" s="460">
        <f t="shared" si="9"/>
      </c>
      <c r="J10" s="460">
        <f t="shared" si="9"/>
      </c>
      <c r="K10" s="460">
        <f t="shared" si="9"/>
      </c>
      <c r="L10" s="460">
        <f t="shared" si="9"/>
      </c>
      <c r="M10" s="460">
        <f t="shared" si="9"/>
      </c>
      <c r="N10" s="460">
        <f t="shared" si="9"/>
      </c>
      <c r="O10" s="460">
        <f t="shared" si="9"/>
      </c>
      <c r="P10" s="460">
        <f t="shared" si="9"/>
      </c>
      <c r="Q10" s="460">
        <f t="shared" si="9"/>
        <v>75</v>
      </c>
      <c r="R10" s="460">
        <f t="shared" si="9"/>
      </c>
      <c r="S10" s="283">
        <f t="shared" si="2"/>
        <v>75</v>
      </c>
      <c r="T10" s="315">
        <f>AB10-S10</f>
        <v>0</v>
      </c>
      <c r="U10" s="462">
        <f>_xlfn.IFERROR(VLOOKUP(D10,BenchmarksRd1,3,0)*86400,"NotSet")</f>
        <v>72.982</v>
      </c>
      <c r="V10" s="463">
        <f t="shared" si="7"/>
        <v>1.2760000000000105</v>
      </c>
      <c r="W10" s="464">
        <f t="shared" si="8"/>
        <v>0</v>
      </c>
      <c r="X10" s="277">
        <f t="shared" si="3"/>
        <v>1</v>
      </c>
      <c r="Y10" s="277">
        <f t="shared" si="4"/>
        <v>2</v>
      </c>
      <c r="Z10" s="277">
        <f>IF($Y10="n/a","",_xlfn.IFERROR(COUNTIF($Y$2:$Y10,"="&amp;Y10),""))</f>
        <v>2</v>
      </c>
      <c r="AA10" s="277">
        <f>COUNTIF($X$2:X9,"&lt;"&amp;X10)</f>
        <v>0</v>
      </c>
      <c r="AB10" s="278">
        <f t="shared" si="5"/>
        <v>75</v>
      </c>
      <c r="AC10" s="501">
        <f t="shared" si="6"/>
        <v>75</v>
      </c>
      <c r="AE10" s="333" t="s">
        <v>24</v>
      </c>
      <c r="AF10" s="466" t="s">
        <v>209</v>
      </c>
      <c r="AG10" s="335">
        <v>0.0007832523148148149</v>
      </c>
    </row>
    <row r="11" spans="1:33" ht="12.75">
      <c r="A11" s="315">
        <v>77</v>
      </c>
      <c r="B11" s="510" t="s">
        <v>118</v>
      </c>
      <c r="C11" s="317" t="str">
        <f t="shared" si="0"/>
        <v>simeon ouzas</v>
      </c>
      <c r="D11" s="317" t="s">
        <v>5</v>
      </c>
      <c r="E11" s="459" t="s">
        <v>94</v>
      </c>
      <c r="F11" s="459"/>
      <c r="G11" s="317" t="s">
        <v>86</v>
      </c>
      <c r="H11" s="460">
        <f t="shared" si="9"/>
      </c>
      <c r="I11" s="460">
        <f t="shared" si="9"/>
      </c>
      <c r="J11" s="460">
        <f t="shared" si="9"/>
      </c>
      <c r="K11" s="460">
        <f t="shared" si="9"/>
      </c>
      <c r="L11" s="460">
        <f t="shared" si="9"/>
      </c>
      <c r="M11" s="460">
        <f t="shared" si="9"/>
      </c>
      <c r="N11" s="460">
        <f t="shared" si="9"/>
      </c>
      <c r="O11" s="460">
        <f t="shared" si="9"/>
      </c>
      <c r="P11" s="460">
        <f t="shared" si="9"/>
      </c>
      <c r="Q11" s="460">
        <f t="shared" si="9"/>
        <v>60</v>
      </c>
      <c r="R11" s="460">
        <f t="shared" si="9"/>
      </c>
      <c r="S11" s="283">
        <f t="shared" si="2"/>
        <v>60</v>
      </c>
      <c r="T11" s="315">
        <f>AB11-S11</f>
        <v>0</v>
      </c>
      <c r="U11" s="462">
        <f>_xlfn.IFERROR(VLOOKUP(D11,BenchmarksRd1,3,0)*86400,"NotSet")</f>
        <v>72.982</v>
      </c>
      <c r="V11" s="463">
        <f t="shared" si="7"/>
        <v>1.4959999999999951</v>
      </c>
      <c r="W11" s="464">
        <f t="shared" si="8"/>
        <v>0</v>
      </c>
      <c r="X11" s="277">
        <f t="shared" si="3"/>
        <v>1</v>
      </c>
      <c r="Y11" s="277">
        <f t="shared" si="4"/>
        <v>2</v>
      </c>
      <c r="Z11" s="277">
        <f>IF($Y11="n/a","",_xlfn.IFERROR(COUNTIF($Y$2:$Y11,"="&amp;Y11),""))</f>
        <v>3</v>
      </c>
      <c r="AA11" s="277">
        <f>COUNTIF($X$2:X10,"&lt;"&amp;X11)</f>
        <v>0</v>
      </c>
      <c r="AB11" s="278">
        <f t="shared" si="5"/>
        <v>60</v>
      </c>
      <c r="AC11" s="501">
        <f t="shared" si="6"/>
        <v>60</v>
      </c>
      <c r="AE11" s="336" t="s">
        <v>13</v>
      </c>
      <c r="AF11" s="467" t="s">
        <v>215</v>
      </c>
      <c r="AG11" s="338">
        <v>0.0007752662037037037</v>
      </c>
    </row>
    <row r="12" spans="1:33" ht="13.5" thickBot="1">
      <c r="A12" s="349">
        <v>58</v>
      </c>
      <c r="B12" s="505" t="s">
        <v>119</v>
      </c>
      <c r="C12" s="351" t="str">
        <f t="shared" si="0"/>
        <v>murray seymour</v>
      </c>
      <c r="D12" s="351" t="s">
        <v>29</v>
      </c>
      <c r="E12" s="434" t="s">
        <v>95</v>
      </c>
      <c r="F12" s="434"/>
      <c r="G12" s="351" t="s">
        <v>38</v>
      </c>
      <c r="H12" s="435">
        <f t="shared" si="9"/>
      </c>
      <c r="I12" s="435">
        <f t="shared" si="9"/>
      </c>
      <c r="J12" s="435">
        <f t="shared" si="9"/>
      </c>
      <c r="K12" s="435">
        <f t="shared" si="9"/>
      </c>
      <c r="L12" s="435">
        <f t="shared" si="9"/>
      </c>
      <c r="M12" s="435">
        <f t="shared" si="9"/>
        <v>75</v>
      </c>
      <c r="N12" s="435">
        <f t="shared" si="9"/>
      </c>
      <c r="O12" s="435">
        <f t="shared" si="9"/>
      </c>
      <c r="P12" s="435">
        <f t="shared" si="9"/>
      </c>
      <c r="Q12" s="435">
        <f t="shared" si="9"/>
      </c>
      <c r="R12" s="435">
        <f t="shared" si="9"/>
      </c>
      <c r="S12" s="283">
        <f t="shared" si="2"/>
        <v>75</v>
      </c>
      <c r="T12" s="349">
        <f>AB12-S12</f>
        <v>-45</v>
      </c>
      <c r="U12" s="437">
        <f>_xlfn.IFERROR(VLOOKUP(D12,BenchmarksRd1,3,0)*86400,"NotSet")</f>
        <v>72.31000000000002</v>
      </c>
      <c r="V12" s="438">
        <f t="shared" si="7"/>
        <v>2.1899999999999977</v>
      </c>
      <c r="W12" s="439">
        <f t="shared" si="8"/>
        <v>-5</v>
      </c>
      <c r="X12" s="277">
        <f t="shared" si="3"/>
        <v>2</v>
      </c>
      <c r="Y12" s="277">
        <f t="shared" si="4"/>
        <v>4</v>
      </c>
      <c r="Z12" s="277">
        <f>IF($Y12="n/a","",_xlfn.IFERROR(COUNTIF($Y$2:$Y12,"="&amp;Y12),""))</f>
        <v>2</v>
      </c>
      <c r="AA12" s="277">
        <f>COUNTIF($X$2:X11,"&lt;"&amp;X12)</f>
        <v>3</v>
      </c>
      <c r="AB12" s="278">
        <f t="shared" si="5"/>
        <v>30</v>
      </c>
      <c r="AC12" s="501">
        <f t="shared" si="6"/>
        <v>25</v>
      </c>
      <c r="AE12" s="339" t="s">
        <v>14</v>
      </c>
      <c r="AF12" s="468" t="s">
        <v>215</v>
      </c>
      <c r="AG12" s="341">
        <v>0.0007770833333333333</v>
      </c>
    </row>
    <row r="13" spans="1:29" ht="12.75">
      <c r="A13" s="315">
        <v>128</v>
      </c>
      <c r="B13" s="510" t="s">
        <v>204</v>
      </c>
      <c r="C13" s="317" t="str">
        <f t="shared" si="0"/>
        <v>allison rafei</v>
      </c>
      <c r="D13" s="317" t="s">
        <v>5</v>
      </c>
      <c r="E13" s="459" t="s">
        <v>96</v>
      </c>
      <c r="F13" s="459"/>
      <c r="G13" s="317" t="s">
        <v>97</v>
      </c>
      <c r="H13" s="460">
        <f t="shared" si="9"/>
      </c>
      <c r="I13" s="460">
        <f t="shared" si="9"/>
      </c>
      <c r="J13" s="460">
        <f t="shared" si="9"/>
      </c>
      <c r="K13" s="460">
        <f t="shared" si="9"/>
      </c>
      <c r="L13" s="460">
        <f t="shared" si="9"/>
      </c>
      <c r="M13" s="460">
        <f t="shared" si="9"/>
      </c>
      <c r="N13" s="460">
        <f t="shared" si="9"/>
      </c>
      <c r="O13" s="460">
        <f t="shared" si="9"/>
      </c>
      <c r="P13" s="460">
        <f t="shared" si="9"/>
      </c>
      <c r="Q13" s="460">
        <f t="shared" si="9"/>
        <v>45</v>
      </c>
      <c r="R13" s="460">
        <f t="shared" si="9"/>
      </c>
      <c r="S13" s="283">
        <f t="shared" si="2"/>
        <v>45</v>
      </c>
      <c r="T13" s="315">
        <f>AB13-S13</f>
        <v>0</v>
      </c>
      <c r="U13" s="462">
        <f>_xlfn.IFERROR(VLOOKUP(D13,BenchmarksRd1,3,0)*86400,"NotSet")</f>
        <v>72.982</v>
      </c>
      <c r="V13" s="463">
        <f t="shared" si="7"/>
        <v>2.6809999999999974</v>
      </c>
      <c r="W13" s="464">
        <f t="shared" si="8"/>
        <v>-5</v>
      </c>
      <c r="X13" s="277">
        <f t="shared" si="3"/>
        <v>1</v>
      </c>
      <c r="Y13" s="277">
        <f t="shared" si="4"/>
        <v>2</v>
      </c>
      <c r="Z13" s="277">
        <f>IF($Y13="n/a","",_xlfn.IFERROR(COUNTIF($Y$2:$Y13,"="&amp;Y13),""))</f>
        <v>4</v>
      </c>
      <c r="AA13" s="277">
        <f>COUNTIF($X$2:X12,"&lt;"&amp;X13)</f>
        <v>0</v>
      </c>
      <c r="AB13" s="278">
        <f t="shared" si="5"/>
        <v>45</v>
      </c>
      <c r="AC13" s="501">
        <f t="shared" si="6"/>
        <v>40</v>
      </c>
    </row>
    <row r="14" spans="1:29" ht="12.75">
      <c r="A14" s="270">
        <v>73</v>
      </c>
      <c r="B14" s="503" t="s">
        <v>120</v>
      </c>
      <c r="C14" s="273" t="str">
        <f t="shared" si="0"/>
        <v>jarrah pitt</v>
      </c>
      <c r="D14" s="273" t="s">
        <v>34</v>
      </c>
      <c r="E14" s="451" t="s">
        <v>98</v>
      </c>
      <c r="F14" s="451"/>
      <c r="G14" s="273" t="s">
        <v>35</v>
      </c>
      <c r="H14" s="452">
        <f t="shared" si="9"/>
      </c>
      <c r="I14" s="452">
        <f t="shared" si="9"/>
      </c>
      <c r="J14" s="452">
        <f t="shared" si="9"/>
      </c>
      <c r="K14" s="452">
        <f t="shared" si="9"/>
      </c>
      <c r="L14" s="452">
        <f t="shared" si="9"/>
      </c>
      <c r="M14" s="452">
        <f t="shared" si="9"/>
      </c>
      <c r="N14" s="452">
        <f t="shared" si="9"/>
      </c>
      <c r="O14" s="452">
        <f t="shared" si="9"/>
      </c>
      <c r="P14" s="452">
        <f t="shared" si="9"/>
      </c>
      <c r="Q14" s="452">
        <f t="shared" si="9"/>
      </c>
      <c r="R14" s="452">
        <f t="shared" si="9"/>
      </c>
      <c r="S14" s="283">
        <f t="shared" si="2"/>
        <v>0</v>
      </c>
      <c r="T14" s="302"/>
      <c r="U14" s="454"/>
      <c r="V14" s="455"/>
      <c r="W14" s="456"/>
      <c r="X14" s="277" t="str">
        <f t="shared" si="3"/>
        <v>n/a</v>
      </c>
      <c r="Y14" s="277" t="str">
        <f t="shared" si="4"/>
        <v>n/a</v>
      </c>
      <c r="Z14" s="277">
        <f>IF($Y14="n/a","",_xlfn.IFERROR(COUNTIF($Y$2:$Y14,"="&amp;Y14),""))</f>
      </c>
      <c r="AA14" s="277">
        <f>COUNTIF($X$2:X13,"&lt;"&amp;X14)</f>
        <v>0</v>
      </c>
      <c r="AB14" s="278">
        <f t="shared" si="5"/>
        <v>0</v>
      </c>
      <c r="AC14" s="501">
        <f t="shared" si="6"/>
        <v>0</v>
      </c>
    </row>
    <row r="15" spans="1:29" ht="12.75">
      <c r="A15" s="315">
        <v>59</v>
      </c>
      <c r="B15" s="510" t="s">
        <v>121</v>
      </c>
      <c r="C15" s="317" t="str">
        <f t="shared" si="0"/>
        <v>gareth pedley</v>
      </c>
      <c r="D15" s="317" t="s">
        <v>5</v>
      </c>
      <c r="E15" s="459" t="s">
        <v>99</v>
      </c>
      <c r="F15" s="459"/>
      <c r="G15" s="317" t="s">
        <v>100</v>
      </c>
      <c r="H15" s="460">
        <f t="shared" si="9"/>
      </c>
      <c r="I15" s="460">
        <f t="shared" si="9"/>
      </c>
      <c r="J15" s="460">
        <f t="shared" si="9"/>
      </c>
      <c r="K15" s="460">
        <f t="shared" si="9"/>
      </c>
      <c r="L15" s="460">
        <f t="shared" si="9"/>
      </c>
      <c r="M15" s="460">
        <f t="shared" si="9"/>
      </c>
      <c r="N15" s="460">
        <f t="shared" si="9"/>
      </c>
      <c r="O15" s="460">
        <f t="shared" si="9"/>
      </c>
      <c r="P15" s="460">
        <f t="shared" si="9"/>
      </c>
      <c r="Q15" s="460">
        <f t="shared" si="9"/>
        <v>30</v>
      </c>
      <c r="R15" s="460">
        <f t="shared" si="9"/>
      </c>
      <c r="S15" s="283">
        <f t="shared" si="2"/>
        <v>30</v>
      </c>
      <c r="T15" s="315">
        <f>AB15-S15</f>
        <v>0</v>
      </c>
      <c r="U15" s="462">
        <f>_xlfn.IFERROR(VLOOKUP(D15,BenchmarksRd1,3,0)*86400,"NotSet")</f>
        <v>72.982</v>
      </c>
      <c r="V15" s="463">
        <f t="shared" si="7"/>
        <v>3.410000000000011</v>
      </c>
      <c r="W15" s="464">
        <f t="shared" si="8"/>
        <v>-10</v>
      </c>
      <c r="X15" s="277">
        <f t="shared" si="3"/>
        <v>1</v>
      </c>
      <c r="Y15" s="277">
        <f t="shared" si="4"/>
        <v>2</v>
      </c>
      <c r="Z15" s="277">
        <f>IF($Y15="n/a","",_xlfn.IFERROR(COUNTIF($Y$2:$Y15,"="&amp;Y15),""))</f>
        <v>5</v>
      </c>
      <c r="AA15" s="277">
        <f>COUNTIF($X$2:X14,"&lt;"&amp;X15)</f>
        <v>0</v>
      </c>
      <c r="AB15" s="278">
        <f t="shared" si="5"/>
        <v>30</v>
      </c>
      <c r="AC15" s="501">
        <f t="shared" si="6"/>
        <v>20</v>
      </c>
    </row>
    <row r="16" spans="1:29" ht="12.75">
      <c r="A16" s="270">
        <v>19</v>
      </c>
      <c r="B16" s="503" t="s">
        <v>122</v>
      </c>
      <c r="C16" s="273" t="str">
        <f t="shared" si="0"/>
        <v>ajith perera</v>
      </c>
      <c r="D16" s="273" t="s">
        <v>34</v>
      </c>
      <c r="E16" s="451" t="s">
        <v>101</v>
      </c>
      <c r="F16" s="451"/>
      <c r="G16" s="273" t="s">
        <v>97</v>
      </c>
      <c r="H16" s="452">
        <f t="shared" si="9"/>
      </c>
      <c r="I16" s="452">
        <f t="shared" si="9"/>
      </c>
      <c r="J16" s="452">
        <f t="shared" si="9"/>
      </c>
      <c r="K16" s="452">
        <f t="shared" si="9"/>
      </c>
      <c r="L16" s="452">
        <f t="shared" si="9"/>
      </c>
      <c r="M16" s="452">
        <f t="shared" si="9"/>
      </c>
      <c r="N16" s="452">
        <f t="shared" si="9"/>
      </c>
      <c r="O16" s="452">
        <f t="shared" si="9"/>
      </c>
      <c r="P16" s="452">
        <f t="shared" si="9"/>
      </c>
      <c r="Q16" s="452">
        <f t="shared" si="9"/>
      </c>
      <c r="R16" s="452">
        <f t="shared" si="9"/>
      </c>
      <c r="S16" s="283">
        <f t="shared" si="2"/>
        <v>0</v>
      </c>
      <c r="T16" s="302"/>
      <c r="U16" s="454"/>
      <c r="V16" s="455"/>
      <c r="W16" s="456"/>
      <c r="X16" s="277" t="str">
        <f t="shared" si="3"/>
        <v>n/a</v>
      </c>
      <c r="Y16" s="277" t="str">
        <f t="shared" si="4"/>
        <v>n/a</v>
      </c>
      <c r="Z16" s="277">
        <f>IF($Y16="n/a","",_xlfn.IFERROR(COUNTIF($Y$2:$Y16,"="&amp;Y16),""))</f>
      </c>
      <c r="AA16" s="277">
        <f>COUNTIF($X$2:X15,"&lt;"&amp;X16)</f>
        <v>0</v>
      </c>
      <c r="AB16" s="278">
        <f t="shared" si="5"/>
        <v>0</v>
      </c>
      <c r="AC16" s="501">
        <f t="shared" si="6"/>
        <v>0</v>
      </c>
    </row>
    <row r="17" spans="1:29" ht="13.5" thickBot="1">
      <c r="A17" s="469">
        <v>78</v>
      </c>
      <c r="B17" s="514" t="s">
        <v>123</v>
      </c>
      <c r="C17" s="471" t="str">
        <f t="shared" si="0"/>
        <v>tony maslen</v>
      </c>
      <c r="D17" s="471" t="s">
        <v>5</v>
      </c>
      <c r="E17" s="472" t="s">
        <v>102</v>
      </c>
      <c r="F17" s="472"/>
      <c r="G17" s="471" t="s">
        <v>100</v>
      </c>
      <c r="H17" s="460">
        <f t="shared" si="9"/>
      </c>
      <c r="I17" s="460">
        <f t="shared" si="9"/>
      </c>
      <c r="J17" s="460">
        <f t="shared" si="9"/>
      </c>
      <c r="K17" s="460">
        <f t="shared" si="9"/>
      </c>
      <c r="L17" s="460">
        <f t="shared" si="9"/>
      </c>
      <c r="M17" s="460">
        <f t="shared" si="9"/>
      </c>
      <c r="N17" s="460">
        <f t="shared" si="9"/>
      </c>
      <c r="O17" s="460">
        <f t="shared" si="9"/>
      </c>
      <c r="P17" s="460">
        <f t="shared" si="9"/>
      </c>
      <c r="Q17" s="460">
        <f t="shared" si="9"/>
        <v>15</v>
      </c>
      <c r="R17" s="460">
        <f t="shared" si="9"/>
      </c>
      <c r="S17" s="283">
        <f t="shared" si="2"/>
        <v>15</v>
      </c>
      <c r="T17" s="469">
        <f>AB17-S17</f>
        <v>0</v>
      </c>
      <c r="U17" s="475">
        <f>_xlfn.IFERROR(VLOOKUP(D17,BenchmarksRd1,3,0)*86400,"NotSet")</f>
        <v>72.982</v>
      </c>
      <c r="V17" s="476">
        <f t="shared" si="7"/>
        <v>6.540999999999997</v>
      </c>
      <c r="W17" s="477">
        <f t="shared" si="8"/>
        <v>-10</v>
      </c>
      <c r="X17" s="277">
        <f t="shared" si="3"/>
        <v>1</v>
      </c>
      <c r="Y17" s="277">
        <f t="shared" si="4"/>
        <v>2</v>
      </c>
      <c r="Z17" s="277">
        <f>IF($Y17="n/a","",_xlfn.IFERROR(COUNTIF($Y$2:$Y17,"="&amp;Y17),""))</f>
        <v>6</v>
      </c>
      <c r="AA17" s="277">
        <f>COUNTIF($X$2:X16,"&lt;"&amp;X17)</f>
        <v>0</v>
      </c>
      <c r="AB17" s="278">
        <f t="shared" si="5"/>
        <v>15</v>
      </c>
      <c r="AC17" s="515">
        <f t="shared" si="6"/>
        <v>5</v>
      </c>
    </row>
    <row r="18" spans="7:29" ht="13.5" thickBot="1">
      <c r="G18" s="362" t="s">
        <v>37</v>
      </c>
      <c r="H18" s="363">
        <f aca="true" t="shared" si="10" ref="H18:S18">COUNT(H2:H17)</f>
        <v>1</v>
      </c>
      <c r="I18" s="363">
        <f t="shared" si="10"/>
        <v>1</v>
      </c>
      <c r="J18" s="363">
        <f t="shared" si="10"/>
        <v>0</v>
      </c>
      <c r="K18" s="363">
        <f t="shared" si="10"/>
        <v>1</v>
      </c>
      <c r="L18" s="363">
        <f t="shared" si="10"/>
        <v>0</v>
      </c>
      <c r="M18" s="363">
        <f t="shared" si="10"/>
        <v>2</v>
      </c>
      <c r="N18" s="363">
        <f t="shared" si="10"/>
        <v>1</v>
      </c>
      <c r="O18" s="363">
        <f t="shared" si="10"/>
        <v>0</v>
      </c>
      <c r="P18" s="363">
        <f t="shared" si="10"/>
        <v>0</v>
      </c>
      <c r="Q18" s="363">
        <f t="shared" si="10"/>
        <v>6</v>
      </c>
      <c r="R18" s="363">
        <f t="shared" si="10"/>
        <v>0</v>
      </c>
      <c r="S18" s="366">
        <f t="shared" si="10"/>
        <v>16</v>
      </c>
      <c r="T18" s="481"/>
      <c r="U18" s="481"/>
      <c r="V18" s="482"/>
      <c r="W18" s="481"/>
      <c r="X18" s="481"/>
      <c r="Y18" s="481"/>
      <c r="Z18" s="481"/>
      <c r="AA18" s="481"/>
      <c r="AB18" s="481"/>
      <c r="AC18" s="481"/>
    </row>
    <row r="19" spans="20:29" ht="12.75">
      <c r="T19" s="273"/>
      <c r="U19" s="450"/>
      <c r="V19" s="482"/>
      <c r="W19" s="450"/>
      <c r="X19" s="273"/>
      <c r="Y19" s="273"/>
      <c r="Z19" s="273"/>
      <c r="AA19" s="273"/>
      <c r="AB19" s="273"/>
      <c r="AC19" s="450"/>
    </row>
    <row r="20" spans="2:28" ht="12.75">
      <c r="B20" s="367"/>
      <c r="C20" s="367"/>
      <c r="D20" s="118"/>
      <c r="T20" s="118"/>
      <c r="X20" s="118"/>
      <c r="Y20" s="118"/>
      <c r="Z20" s="118"/>
      <c r="AA20" s="118"/>
      <c r="AB20" s="118"/>
    </row>
    <row r="22" ht="15">
      <c r="E22" s="370"/>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9.140625" defaultRowHeight="12.75"/>
  <cols>
    <col min="1" max="1" width="5.8515625" style="251" customWidth="1"/>
    <col min="2" max="2" width="16.421875" style="266" customWidth="1"/>
    <col min="3" max="3" width="20.8515625" style="266" hidden="1" customWidth="1"/>
    <col min="4" max="4" width="7.7109375" style="266" bestFit="1" customWidth="1"/>
    <col min="5" max="5" width="11.28125" style="266" customWidth="1"/>
    <col min="6" max="6" width="11.140625" style="266" customWidth="1"/>
    <col min="7" max="7" width="11.28125" style="266" customWidth="1"/>
    <col min="8" max="8" width="9.28125" style="266" bestFit="1" customWidth="1"/>
    <col min="9" max="19" width="7.7109375" style="266" customWidth="1"/>
    <col min="20" max="20" width="7.57421875" style="368" bestFit="1" customWidth="1"/>
    <col min="21" max="21" width="7.7109375" style="369" bestFit="1" customWidth="1"/>
    <col min="22" max="22" width="6.28125" style="368" customWidth="1"/>
    <col min="23" max="23" width="6.8515625" style="368" customWidth="1"/>
    <col min="24" max="24" width="6.57421875" style="368" bestFit="1" customWidth="1"/>
    <col min="25" max="25" width="14.28125" style="266" hidden="1" customWidth="1"/>
    <col min="26" max="28" width="8.8515625" style="266" hidden="1" customWidth="1"/>
    <col min="29" max="29" width="10.8515625" style="266" hidden="1" customWidth="1"/>
    <col min="30" max="30" width="8.8515625" style="368" customWidth="1"/>
    <col min="31" max="32" width="8.8515625" style="266" customWidth="1"/>
    <col min="33" max="33" width="8.140625" style="266" bestFit="1" customWidth="1"/>
    <col min="34" max="34" width="8.8515625" style="266" customWidth="1"/>
    <col min="35" max="35" width="9.140625" style="266" bestFit="1" customWidth="1"/>
    <col min="36" max="16384" width="8.8515625" style="266" customWidth="1"/>
  </cols>
  <sheetData>
    <row r="1" spans="1:35" s="251" customFormat="1" ht="42.75" customHeight="1" thickBot="1">
      <c r="A1" s="229" t="s">
        <v>31</v>
      </c>
      <c r="B1" s="230" t="s">
        <v>1</v>
      </c>
      <c r="C1" s="230" t="s">
        <v>1</v>
      </c>
      <c r="D1" s="230" t="s">
        <v>2</v>
      </c>
      <c r="E1" s="231" t="s">
        <v>152</v>
      </c>
      <c r="F1" s="231" t="s">
        <v>153</v>
      </c>
      <c r="G1" s="231" t="s">
        <v>154</v>
      </c>
      <c r="H1" s="232" t="s">
        <v>33</v>
      </c>
      <c r="I1" s="233" t="s">
        <v>14</v>
      </c>
      <c r="J1" s="234" t="s">
        <v>13</v>
      </c>
      <c r="K1" s="235" t="s">
        <v>24</v>
      </c>
      <c r="L1" s="236" t="s">
        <v>67</v>
      </c>
      <c r="M1" s="237" t="s">
        <v>66</v>
      </c>
      <c r="N1" s="238" t="s">
        <v>29</v>
      </c>
      <c r="O1" s="239" t="s">
        <v>30</v>
      </c>
      <c r="P1" s="240" t="s">
        <v>65</v>
      </c>
      <c r="Q1" s="241" t="s">
        <v>4</v>
      </c>
      <c r="R1" s="242" t="s">
        <v>5</v>
      </c>
      <c r="S1" s="243" t="s">
        <v>3</v>
      </c>
      <c r="T1" s="244" t="s">
        <v>108</v>
      </c>
      <c r="U1" s="245" t="s">
        <v>109</v>
      </c>
      <c r="V1" s="246" t="s">
        <v>131</v>
      </c>
      <c r="W1" s="247" t="s">
        <v>129</v>
      </c>
      <c r="X1" s="248" t="s">
        <v>130</v>
      </c>
      <c r="Y1" s="249" t="s">
        <v>197</v>
      </c>
      <c r="Z1" s="249" t="s">
        <v>2</v>
      </c>
      <c r="AA1" s="249" t="s">
        <v>198</v>
      </c>
      <c r="AB1" s="249" t="s">
        <v>199</v>
      </c>
      <c r="AC1" s="249" t="s">
        <v>200</v>
      </c>
      <c r="AD1" s="250" t="s">
        <v>201</v>
      </c>
      <c r="AF1" s="252" t="s">
        <v>202</v>
      </c>
      <c r="AG1" s="253"/>
      <c r="AH1" s="253"/>
      <c r="AI1" s="253"/>
    </row>
    <row r="2" spans="1:35" ht="12.75">
      <c r="A2" s="254">
        <v>89</v>
      </c>
      <c r="B2" s="255" t="s">
        <v>112</v>
      </c>
      <c r="C2" s="256" t="str">
        <f aca="true" t="shared" si="0" ref="C2:C20">LOWER(B2)</f>
        <v>dave moore</v>
      </c>
      <c r="D2" s="256" t="s">
        <v>14</v>
      </c>
      <c r="E2" s="257">
        <v>0.0012714814814814815</v>
      </c>
      <c r="F2" s="257">
        <v>0.0008057870370370371</v>
      </c>
      <c r="G2" s="257">
        <f aca="true" t="shared" si="1" ref="G2:G18">E2+F2</f>
        <v>0.0020772685185185187</v>
      </c>
      <c r="H2" s="256" t="s">
        <v>138</v>
      </c>
      <c r="I2" s="256">
        <v>100</v>
      </c>
      <c r="J2" s="256"/>
      <c r="K2" s="256"/>
      <c r="L2" s="256"/>
      <c r="M2" s="256"/>
      <c r="N2" s="256"/>
      <c r="O2" s="256"/>
      <c r="P2" s="256"/>
      <c r="Q2" s="256"/>
      <c r="R2" s="256"/>
      <c r="S2" s="256"/>
      <c r="T2" s="258">
        <f>_xlfn.IFERROR(VLOOKUP(D2,BenchmarksRd2,4,0)*86400,"")</f>
        <v>161.031</v>
      </c>
      <c r="U2" s="259">
        <f>(($G2*86400)-T2)/2</f>
        <v>9.222499999999997</v>
      </c>
      <c r="V2" s="260">
        <f>MAX(I2:S2)</f>
        <v>100</v>
      </c>
      <c r="W2" s="261">
        <v>0</v>
      </c>
      <c r="X2" s="262">
        <f>IF(U2&lt;=0,10,IF(U2&lt;1,5,IF(U2&lt;2,0,IF(U2&lt;3,-5,-10))))</f>
        <v>-10</v>
      </c>
      <c r="Y2" s="263">
        <f aca="true" t="shared" si="2" ref="Y2:Y20">_xlfn.IFERROR(VLOOKUP(D2,Class,4,0),"n/a")</f>
        <v>7</v>
      </c>
      <c r="Z2" s="263">
        <f aca="true" t="shared" si="3" ref="Z2:Z20">_xlfn.IFERROR(VLOOKUP(D2,Class,3,0),"n/a")</f>
        <v>11</v>
      </c>
      <c r="AA2" s="263">
        <f>IF($Z2="n/a","",_xlfn.IFERROR(COUNTIF($Z$2:$Z2,"="&amp;Z2),""))</f>
        <v>1</v>
      </c>
      <c r="AB2" s="263">
        <f>COUNTIF($Y1:Y$2,"&lt;"&amp;Y2)</f>
        <v>0</v>
      </c>
      <c r="AC2" s="264">
        <f aca="true" t="shared" si="4" ref="AC2:AC13">IF($Y2="n/a",0,_xlfn.IFERROR(VLOOKUP(AA2+AB2,Points,2,0),15))</f>
        <v>100</v>
      </c>
      <c r="AD2" s="265">
        <f>(V2+W2+X2)</f>
        <v>90</v>
      </c>
      <c r="AF2" s="267" t="s">
        <v>3</v>
      </c>
      <c r="AG2" s="268">
        <v>0.0012429050925925925</v>
      </c>
      <c r="AH2" s="268">
        <v>0.0008543518518518518</v>
      </c>
      <c r="AI2" s="269">
        <f aca="true" t="shared" si="5" ref="AI2:AI9">((AG2*86400)+(AH2*86400))/86400</f>
        <v>0.0020972569444444446</v>
      </c>
    </row>
    <row r="3" spans="1:35" ht="12.75">
      <c r="A3" s="270">
        <v>724</v>
      </c>
      <c r="B3" s="271" t="s">
        <v>151</v>
      </c>
      <c r="C3" s="272" t="str">
        <f t="shared" si="0"/>
        <v>dean monik</v>
      </c>
      <c r="D3" s="273" t="s">
        <v>34</v>
      </c>
      <c r="E3" s="274">
        <v>0.0012349421296296295</v>
      </c>
      <c r="F3" s="274">
        <v>0.0008440856481481481</v>
      </c>
      <c r="G3" s="274">
        <f t="shared" si="1"/>
        <v>0.0020790277777777777</v>
      </c>
      <c r="H3" s="272" t="s">
        <v>138</v>
      </c>
      <c r="I3" s="272"/>
      <c r="J3" s="272"/>
      <c r="K3" s="272"/>
      <c r="L3" s="272"/>
      <c r="M3" s="272"/>
      <c r="N3" s="272"/>
      <c r="O3" s="272"/>
      <c r="P3" s="272"/>
      <c r="Q3" s="272"/>
      <c r="R3" s="272"/>
      <c r="S3" s="272"/>
      <c r="T3" s="275">
        <f>_xlfn.IFERROR(VLOOKUP(D3,BenchmarksRd2,4,0)*86400,"")</f>
      </c>
      <c r="U3" s="276"/>
      <c r="V3" s="260"/>
      <c r="W3" s="261"/>
      <c r="X3" s="262"/>
      <c r="Y3" s="277" t="str">
        <f t="shared" si="2"/>
        <v>n/a</v>
      </c>
      <c r="Z3" s="277" t="str">
        <f t="shared" si="3"/>
        <v>n/a</v>
      </c>
      <c r="AA3" s="277">
        <f>IF($Z3="n/a","",_xlfn.IFERROR(COUNTIF($Z$2:$Z3,"="&amp;Z3),""))</f>
      </c>
      <c r="AB3" s="277">
        <f>COUNTIF($Y$2:Y2,"&lt;"&amp;Y3)</f>
        <v>0</v>
      </c>
      <c r="AC3" s="278">
        <f t="shared" si="4"/>
        <v>0</v>
      </c>
      <c r="AD3" s="279">
        <f>(V3+W3+X3)</f>
        <v>0</v>
      </c>
      <c r="AF3" s="280" t="s">
        <v>5</v>
      </c>
      <c r="AG3" s="281">
        <v>0.001238275462962963</v>
      </c>
      <c r="AH3" s="281">
        <v>0.0008528356481481481</v>
      </c>
      <c r="AI3" s="282">
        <f t="shared" si="5"/>
        <v>0.002091111111111111</v>
      </c>
    </row>
    <row r="4" spans="1:35" ht="12.75">
      <c r="A4" s="283">
        <v>50</v>
      </c>
      <c r="B4" s="284" t="s">
        <v>124</v>
      </c>
      <c r="C4" s="285" t="str">
        <f t="shared" si="0"/>
        <v>alan conrad</v>
      </c>
      <c r="D4" s="285" t="s">
        <v>67</v>
      </c>
      <c r="E4" s="286">
        <v>0.0012725578703703703</v>
      </c>
      <c r="F4" s="286">
        <v>0.000818125</v>
      </c>
      <c r="G4" s="287">
        <f t="shared" si="1"/>
        <v>0.0020906828703703704</v>
      </c>
      <c r="H4" s="285" t="s">
        <v>138</v>
      </c>
      <c r="I4" s="285"/>
      <c r="J4" s="285"/>
      <c r="K4" s="285"/>
      <c r="L4" s="285">
        <v>100</v>
      </c>
      <c r="M4" s="285"/>
      <c r="N4" s="285"/>
      <c r="O4" s="285"/>
      <c r="P4" s="285"/>
      <c r="Q4" s="285"/>
      <c r="R4" s="285"/>
      <c r="S4" s="285"/>
      <c r="T4" s="288" t="s">
        <v>111</v>
      </c>
      <c r="U4" s="289"/>
      <c r="V4" s="260">
        <f>MAX(I4:S4)</f>
        <v>100</v>
      </c>
      <c r="W4" s="261">
        <v>0</v>
      </c>
      <c r="X4" s="262">
        <v>0</v>
      </c>
      <c r="Y4" s="277">
        <f t="shared" si="2"/>
        <v>4</v>
      </c>
      <c r="Z4" s="277">
        <f t="shared" si="3"/>
        <v>8</v>
      </c>
      <c r="AA4" s="277">
        <f>IF($Z4="n/a","",_xlfn.IFERROR(COUNTIF($Z$2:$Z4,"="&amp;Z4),""))</f>
        <v>1</v>
      </c>
      <c r="AB4" s="277">
        <f>COUNTIF($Y$2:Y3,"&lt;"&amp;Y4)</f>
        <v>0</v>
      </c>
      <c r="AC4" s="278">
        <f t="shared" si="4"/>
        <v>100</v>
      </c>
      <c r="AD4" s="279">
        <f aca="true" t="shared" si="6" ref="AD4:AD20">(V4+W4+X4)</f>
        <v>100</v>
      </c>
      <c r="AF4" s="290" t="s">
        <v>4</v>
      </c>
      <c r="AG4" s="291">
        <v>0.0011998611111111112</v>
      </c>
      <c r="AH4" s="291">
        <v>0.0008293402777777778</v>
      </c>
      <c r="AI4" s="292">
        <f t="shared" si="5"/>
        <v>0.002029201388888889</v>
      </c>
    </row>
    <row r="5" spans="1:35" ht="12.75">
      <c r="A5" s="293">
        <v>26</v>
      </c>
      <c r="B5" s="294" t="s">
        <v>116</v>
      </c>
      <c r="C5" s="295" t="str">
        <f t="shared" si="0"/>
        <v>robert downes</v>
      </c>
      <c r="D5" s="295" t="s">
        <v>30</v>
      </c>
      <c r="E5" s="296">
        <v>0.0012642939814814815</v>
      </c>
      <c r="F5" s="296">
        <v>0.0008376388888888887</v>
      </c>
      <c r="G5" s="296">
        <f t="shared" si="1"/>
        <v>0.0021019328703703703</v>
      </c>
      <c r="H5" s="295" t="s">
        <v>138</v>
      </c>
      <c r="I5" s="295"/>
      <c r="J5" s="295"/>
      <c r="K5" s="295"/>
      <c r="L5" s="295"/>
      <c r="M5" s="295"/>
      <c r="N5" s="295"/>
      <c r="O5" s="295">
        <v>100</v>
      </c>
      <c r="P5" s="295"/>
      <c r="Q5" s="295"/>
      <c r="R5" s="295"/>
      <c r="S5" s="295"/>
      <c r="T5" s="297">
        <f>_xlfn.IFERROR(VLOOKUP(D5,BenchmarksRd2,4,0)*86400,"")</f>
        <v>176.14600000000002</v>
      </c>
      <c r="U5" s="298">
        <f>(($G5*86400)-T5)/2</f>
        <v>2.730499999999992</v>
      </c>
      <c r="V5" s="260">
        <f>MAX(I5:S5)</f>
        <v>100</v>
      </c>
      <c r="W5" s="261">
        <v>0</v>
      </c>
      <c r="X5" s="262">
        <f>IF(U5&lt;=0,10,IF(U5&lt;1,5,IF(U5&lt;2,0,IF(U5&lt;3,-5,-10))))</f>
        <v>-5</v>
      </c>
      <c r="Y5" s="277">
        <f t="shared" si="2"/>
        <v>2</v>
      </c>
      <c r="Z5" s="277">
        <f t="shared" si="3"/>
        <v>3</v>
      </c>
      <c r="AA5" s="277">
        <f>IF($Z5="n/a","",_xlfn.IFERROR(COUNTIF($Z$2:$Z5,"="&amp;Z5),""))</f>
        <v>1</v>
      </c>
      <c r="AB5" s="277">
        <f>COUNTIF($Y$2:Y4,"&lt;"&amp;Y5)</f>
        <v>0</v>
      </c>
      <c r="AC5" s="278">
        <f t="shared" si="4"/>
        <v>100</v>
      </c>
      <c r="AD5" s="279">
        <f t="shared" si="6"/>
        <v>95</v>
      </c>
      <c r="AF5" s="299" t="s">
        <v>65</v>
      </c>
      <c r="AG5" s="300">
        <v>0.0012143287037037038</v>
      </c>
      <c r="AH5" s="300">
        <v>0.0008423611111111111</v>
      </c>
      <c r="AI5" s="301">
        <f t="shared" si="5"/>
        <v>0.002056689814814815</v>
      </c>
    </row>
    <row r="6" spans="1:35" ht="12.75">
      <c r="A6" s="302">
        <v>242</v>
      </c>
      <c r="B6" s="303" t="s">
        <v>144</v>
      </c>
      <c r="C6" s="272" t="str">
        <f t="shared" si="0"/>
        <v>leon bogers</v>
      </c>
      <c r="D6" s="304" t="s">
        <v>34</v>
      </c>
      <c r="E6" s="305">
        <v>0.001313715277777778</v>
      </c>
      <c r="F6" s="305">
        <v>0.0008639351851851851</v>
      </c>
      <c r="G6" s="306">
        <f t="shared" si="1"/>
        <v>0.0021776504629629633</v>
      </c>
      <c r="H6" s="272" t="s">
        <v>138</v>
      </c>
      <c r="I6" s="272"/>
      <c r="J6" s="272"/>
      <c r="K6" s="272"/>
      <c r="L6" s="272"/>
      <c r="M6" s="272"/>
      <c r="N6" s="272"/>
      <c r="O6" s="272"/>
      <c r="P6" s="272"/>
      <c r="Q6" s="272"/>
      <c r="R6" s="272"/>
      <c r="S6" s="272"/>
      <c r="T6" s="275"/>
      <c r="U6" s="307"/>
      <c r="V6" s="260"/>
      <c r="W6" s="261"/>
      <c r="X6" s="262"/>
      <c r="Y6" s="277" t="str">
        <f t="shared" si="2"/>
        <v>n/a</v>
      </c>
      <c r="Z6" s="277" t="str">
        <f t="shared" si="3"/>
        <v>n/a</v>
      </c>
      <c r="AA6" s="277">
        <f>IF($Z6="n/a","",_xlfn.IFERROR(COUNTIF($Z$2:$Z6,"="&amp;Z6),""))</f>
      </c>
      <c r="AB6" s="277">
        <f>COUNTIF($Y$2:Y5,"&lt;"&amp;Y6)</f>
        <v>0</v>
      </c>
      <c r="AC6" s="278">
        <f t="shared" si="4"/>
        <v>0</v>
      </c>
      <c r="AD6" s="279">
        <f t="shared" si="6"/>
        <v>0</v>
      </c>
      <c r="AF6" s="308" t="s">
        <v>30</v>
      </c>
      <c r="AG6" s="309">
        <v>0.0012158101851851852</v>
      </c>
      <c r="AH6" s="310">
        <v>0.0008229166666666667</v>
      </c>
      <c r="AI6" s="311">
        <f t="shared" si="5"/>
        <v>0.002038726851851852</v>
      </c>
    </row>
    <row r="7" spans="1:35" ht="12.75">
      <c r="A7" s="270">
        <v>1</v>
      </c>
      <c r="B7" s="271" t="s">
        <v>146</v>
      </c>
      <c r="C7" s="272" t="str">
        <f t="shared" si="0"/>
        <v>john balazo</v>
      </c>
      <c r="D7" s="273" t="s">
        <v>34</v>
      </c>
      <c r="E7" s="274">
        <v>0.0013750000000000001</v>
      </c>
      <c r="F7" s="274">
        <v>0.0008160648148148149</v>
      </c>
      <c r="G7" s="274">
        <f t="shared" si="1"/>
        <v>0.002191064814814815</v>
      </c>
      <c r="H7" s="272" t="s">
        <v>139</v>
      </c>
      <c r="I7" s="272"/>
      <c r="J7" s="272"/>
      <c r="K7" s="272"/>
      <c r="L7" s="272"/>
      <c r="M7" s="272"/>
      <c r="N7" s="272"/>
      <c r="O7" s="272"/>
      <c r="P7" s="272"/>
      <c r="Q7" s="272"/>
      <c r="R7" s="272"/>
      <c r="S7" s="272"/>
      <c r="T7" s="275">
        <f aca="true" t="shared" si="7" ref="T7:T14">_xlfn.IFERROR(VLOOKUP(D7,BenchmarksRd2,4,0)*86400,"")</f>
      </c>
      <c r="U7" s="276"/>
      <c r="V7" s="260"/>
      <c r="W7" s="261"/>
      <c r="X7" s="262"/>
      <c r="Y7" s="277" t="str">
        <f t="shared" si="2"/>
        <v>n/a</v>
      </c>
      <c r="Z7" s="277" t="str">
        <f t="shared" si="3"/>
        <v>n/a</v>
      </c>
      <c r="AA7" s="277">
        <f>IF($Z7="n/a","",_xlfn.IFERROR(COUNTIF($Z$2:$Z7,"="&amp;Z7),""))</f>
      </c>
      <c r="AB7" s="277">
        <f>COUNTIF($Y$2:Y6,"&lt;"&amp;Y7)</f>
        <v>0</v>
      </c>
      <c r="AC7" s="278">
        <f t="shared" si="4"/>
        <v>0</v>
      </c>
      <c r="AD7" s="279">
        <f t="shared" si="6"/>
        <v>0</v>
      </c>
      <c r="AF7" s="312" t="s">
        <v>29</v>
      </c>
      <c r="AG7" s="313">
        <v>0.0012217361111111112</v>
      </c>
      <c r="AH7" s="313">
        <v>0.0008359259259259258</v>
      </c>
      <c r="AI7" s="314">
        <f t="shared" si="5"/>
        <v>0.0020576620370370367</v>
      </c>
    </row>
    <row r="8" spans="1:35" ht="12.75">
      <c r="A8" s="315">
        <v>28</v>
      </c>
      <c r="B8" s="316" t="s">
        <v>203</v>
      </c>
      <c r="C8" s="317" t="str">
        <f t="shared" si="0"/>
        <v>ibrahim rafei</v>
      </c>
      <c r="D8" s="317" t="s">
        <v>5</v>
      </c>
      <c r="E8" s="318">
        <v>0.0013236805555555554</v>
      </c>
      <c r="F8" s="318">
        <v>0.0008775578703703702</v>
      </c>
      <c r="G8" s="318">
        <f t="shared" si="1"/>
        <v>0.0022012384259259255</v>
      </c>
      <c r="H8" s="317" t="s">
        <v>138</v>
      </c>
      <c r="I8" s="317"/>
      <c r="J8" s="317"/>
      <c r="K8" s="317"/>
      <c r="L8" s="317"/>
      <c r="M8" s="317"/>
      <c r="N8" s="317"/>
      <c r="O8" s="317"/>
      <c r="P8" s="317"/>
      <c r="Q8" s="317"/>
      <c r="R8" s="317">
        <v>100</v>
      </c>
      <c r="S8" s="317"/>
      <c r="T8" s="319">
        <f t="shared" si="7"/>
        <v>180.67199999999997</v>
      </c>
      <c r="U8" s="320">
        <f>(($G8*86400)-T8)/2</f>
        <v>4.757499999999993</v>
      </c>
      <c r="V8" s="260">
        <f>MAX(I8:S8)</f>
        <v>100</v>
      </c>
      <c r="W8" s="261">
        <v>0</v>
      </c>
      <c r="X8" s="262">
        <f>IF(U8&lt;=0,10,IF(U8&lt;1,5,IF(U8&lt;2,0,IF(U8&lt;3,-5,-10))))</f>
        <v>-10</v>
      </c>
      <c r="Y8" s="277">
        <f t="shared" si="2"/>
        <v>1</v>
      </c>
      <c r="Z8" s="277">
        <f t="shared" si="3"/>
        <v>2</v>
      </c>
      <c r="AA8" s="277">
        <f>IF($Z8="n/a","",_xlfn.IFERROR(COUNTIF($Z$2:$Z8,"="&amp;Z8),""))</f>
        <v>1</v>
      </c>
      <c r="AB8" s="277">
        <f>COUNTIF($Y$2:Y7,"&lt;"&amp;Y8)</f>
        <v>0</v>
      </c>
      <c r="AC8" s="278">
        <f t="shared" si="4"/>
        <v>100</v>
      </c>
      <c r="AD8" s="279">
        <f t="shared" si="6"/>
        <v>90</v>
      </c>
      <c r="AF8" s="321" t="s">
        <v>66</v>
      </c>
      <c r="AG8" s="322"/>
      <c r="AH8" s="322"/>
      <c r="AI8" s="323">
        <f t="shared" si="5"/>
        <v>0</v>
      </c>
    </row>
    <row r="9" spans="1:35" ht="12.75">
      <c r="A9" s="324">
        <v>5</v>
      </c>
      <c r="B9" s="325" t="s">
        <v>145</v>
      </c>
      <c r="C9" s="326" t="str">
        <f t="shared" si="0"/>
        <v>tim edwards</v>
      </c>
      <c r="D9" s="326" t="s">
        <v>65</v>
      </c>
      <c r="E9" s="327">
        <v>0.0013163888888888889</v>
      </c>
      <c r="F9" s="327">
        <v>0.0008848726851851853</v>
      </c>
      <c r="G9" s="327">
        <f t="shared" si="1"/>
        <v>0.0022012615740740742</v>
      </c>
      <c r="H9" s="326" t="s">
        <v>138</v>
      </c>
      <c r="I9" s="326"/>
      <c r="J9" s="326"/>
      <c r="K9" s="326"/>
      <c r="L9" s="326"/>
      <c r="M9" s="326"/>
      <c r="N9" s="326"/>
      <c r="O9" s="326"/>
      <c r="P9" s="326">
        <v>100</v>
      </c>
      <c r="Q9" s="326"/>
      <c r="R9" s="326"/>
      <c r="S9" s="326"/>
      <c r="T9" s="328">
        <f t="shared" si="7"/>
        <v>177.698</v>
      </c>
      <c r="U9" s="329">
        <f>(($G9*86400)-T9)/2</f>
        <v>6.245500000000007</v>
      </c>
      <c r="V9" s="260">
        <f>MAX(I9:S9)</f>
        <v>100</v>
      </c>
      <c r="W9" s="261">
        <v>-40</v>
      </c>
      <c r="X9" s="262">
        <f>IF(U9&lt;=0,10,IF(U9&lt;1,5,IF(U9&lt;2,0,IF(U9&lt;3,-5,-10))))</f>
        <v>-10</v>
      </c>
      <c r="Y9" s="277">
        <f t="shared" si="2"/>
        <v>3</v>
      </c>
      <c r="Z9" s="277">
        <f t="shared" si="3"/>
        <v>6</v>
      </c>
      <c r="AA9" s="277">
        <f>IF($Z9="n/a","",_xlfn.IFERROR(COUNTIF($Z$2:$Z9,"="&amp;Z9),""))</f>
        <v>1</v>
      </c>
      <c r="AB9" s="277">
        <f>COUNTIF($Y$2:Y8,"&lt;"&amp;Y9)</f>
        <v>2</v>
      </c>
      <c r="AC9" s="278">
        <f t="shared" si="4"/>
        <v>60</v>
      </c>
      <c r="AD9" s="279">
        <f t="shared" si="6"/>
        <v>50</v>
      </c>
      <c r="AF9" s="330" t="s">
        <v>67</v>
      </c>
      <c r="AG9" s="331"/>
      <c r="AH9" s="331"/>
      <c r="AI9" s="332">
        <f t="shared" si="5"/>
        <v>0</v>
      </c>
    </row>
    <row r="10" spans="1:35" ht="12.75">
      <c r="A10" s="270">
        <v>205</v>
      </c>
      <c r="B10" s="271" t="s">
        <v>117</v>
      </c>
      <c r="C10" s="272" t="str">
        <f t="shared" si="0"/>
        <v>john reid</v>
      </c>
      <c r="D10" s="273" t="s">
        <v>34</v>
      </c>
      <c r="E10" s="274">
        <v>0.0013347453703703705</v>
      </c>
      <c r="F10" s="274">
        <v>0.0008791435185185186</v>
      </c>
      <c r="G10" s="274">
        <f t="shared" si="1"/>
        <v>0.002213888888888889</v>
      </c>
      <c r="H10" s="272" t="s">
        <v>138</v>
      </c>
      <c r="I10" s="272"/>
      <c r="J10" s="272"/>
      <c r="K10" s="272"/>
      <c r="L10" s="272"/>
      <c r="M10" s="272"/>
      <c r="N10" s="272"/>
      <c r="O10" s="272"/>
      <c r="P10" s="272"/>
      <c r="Q10" s="272"/>
      <c r="R10" s="272"/>
      <c r="S10" s="272"/>
      <c r="T10" s="275">
        <f t="shared" si="7"/>
      </c>
      <c r="U10" s="276"/>
      <c r="V10" s="260"/>
      <c r="W10" s="261"/>
      <c r="X10" s="262"/>
      <c r="Y10" s="277" t="str">
        <f t="shared" si="2"/>
        <v>n/a</v>
      </c>
      <c r="Z10" s="277" t="str">
        <f t="shared" si="3"/>
        <v>n/a</v>
      </c>
      <c r="AA10" s="277">
        <f>IF($Z10="n/a","",_xlfn.IFERROR(COUNTIF($Z$2:$Z10,"="&amp;Z10),""))</f>
      </c>
      <c r="AB10" s="277">
        <f>COUNTIF($Y$2:Y9,"&lt;"&amp;Y10)</f>
        <v>0</v>
      </c>
      <c r="AC10" s="278">
        <f t="shared" si="4"/>
        <v>0</v>
      </c>
      <c r="AD10" s="279">
        <f t="shared" si="6"/>
        <v>0</v>
      </c>
      <c r="AF10" s="333" t="s">
        <v>24</v>
      </c>
      <c r="AG10" s="334">
        <v>0.0011281828703703703</v>
      </c>
      <c r="AH10" s="334">
        <v>0.0007734374999999999</v>
      </c>
      <c r="AI10" s="335">
        <f>((AG10*86400)+(AH10*86400))/86400</f>
        <v>0.0019016203703703701</v>
      </c>
    </row>
    <row r="11" spans="1:35" ht="12.75">
      <c r="A11" s="270">
        <v>73</v>
      </c>
      <c r="B11" s="271" t="s">
        <v>120</v>
      </c>
      <c r="C11" s="272" t="str">
        <f t="shared" si="0"/>
        <v>jarrah pitt</v>
      </c>
      <c r="D11" s="273" t="s">
        <v>34</v>
      </c>
      <c r="E11" s="274">
        <v>0.0013829629629629628</v>
      </c>
      <c r="F11" s="274">
        <v>0.0009158680555555556</v>
      </c>
      <c r="G11" s="274">
        <f t="shared" si="1"/>
        <v>0.0022988310185185186</v>
      </c>
      <c r="H11" s="272" t="s">
        <v>138</v>
      </c>
      <c r="I11" s="272"/>
      <c r="J11" s="272"/>
      <c r="K11" s="272"/>
      <c r="L11" s="272"/>
      <c r="M11" s="272"/>
      <c r="N11" s="272"/>
      <c r="O11" s="272"/>
      <c r="P11" s="272"/>
      <c r="Q11" s="272"/>
      <c r="R11" s="272"/>
      <c r="S11" s="272"/>
      <c r="T11" s="275">
        <f t="shared" si="7"/>
      </c>
      <c r="U11" s="276"/>
      <c r="V11" s="260"/>
      <c r="W11" s="261"/>
      <c r="X11" s="262"/>
      <c r="Y11" s="277" t="str">
        <f t="shared" si="2"/>
        <v>n/a</v>
      </c>
      <c r="Z11" s="277" t="str">
        <f t="shared" si="3"/>
        <v>n/a</v>
      </c>
      <c r="AA11" s="277">
        <f>IF($Z11="n/a","",_xlfn.IFERROR(COUNTIF($Z$2:$Z11,"="&amp;Z11),""))</f>
      </c>
      <c r="AB11" s="277">
        <f>COUNTIF($Y$2:Y10,"&lt;"&amp;Y11)</f>
        <v>0</v>
      </c>
      <c r="AC11" s="278">
        <f t="shared" si="4"/>
        <v>0</v>
      </c>
      <c r="AD11" s="279">
        <f t="shared" si="6"/>
        <v>0</v>
      </c>
      <c r="AF11" s="336" t="s">
        <v>13</v>
      </c>
      <c r="AG11" s="337">
        <v>0.001110150462962963</v>
      </c>
      <c r="AH11" s="337">
        <v>0.0007670833333333333</v>
      </c>
      <c r="AI11" s="338">
        <f>((AG11*86400)+(AH11*86400))/86400</f>
        <v>0.0018772337962962961</v>
      </c>
    </row>
    <row r="12" spans="1:35" ht="13.5" thickBot="1">
      <c r="A12" s="315">
        <v>29</v>
      </c>
      <c r="B12" s="316" t="s">
        <v>126</v>
      </c>
      <c r="C12" s="317" t="str">
        <f t="shared" si="0"/>
        <v>steve williamsz</v>
      </c>
      <c r="D12" s="317" t="s">
        <v>5</v>
      </c>
      <c r="E12" s="318">
        <v>0.0014356944444444445</v>
      </c>
      <c r="F12" s="318">
        <v>0.0008711574074074074</v>
      </c>
      <c r="G12" s="318">
        <f t="shared" si="1"/>
        <v>0.002306851851851852</v>
      </c>
      <c r="H12" s="317" t="s">
        <v>140</v>
      </c>
      <c r="I12" s="317"/>
      <c r="J12" s="317"/>
      <c r="K12" s="317"/>
      <c r="L12" s="317"/>
      <c r="M12" s="317"/>
      <c r="N12" s="317"/>
      <c r="O12" s="317"/>
      <c r="P12" s="317"/>
      <c r="Q12" s="317"/>
      <c r="R12" s="317">
        <v>75</v>
      </c>
      <c r="S12" s="317"/>
      <c r="T12" s="319">
        <f t="shared" si="7"/>
        <v>180.67199999999997</v>
      </c>
      <c r="U12" s="320">
        <f>(($G12*86400)-T12)/2</f>
        <v>9.320000000000022</v>
      </c>
      <c r="V12" s="260">
        <f>MAX(I12:S12)</f>
        <v>75</v>
      </c>
      <c r="W12" s="261">
        <v>0</v>
      </c>
      <c r="X12" s="262">
        <f>IF(U12&lt;=0,10,IF(U12&lt;1,5,IF(U12&lt;2,0,IF(U12&lt;3,-5,-10))))</f>
        <v>-10</v>
      </c>
      <c r="Y12" s="277">
        <f t="shared" si="2"/>
        <v>1</v>
      </c>
      <c r="Z12" s="277">
        <f t="shared" si="3"/>
        <v>2</v>
      </c>
      <c r="AA12" s="277">
        <f>IF($Z12="n/a","",_xlfn.IFERROR(COUNTIF($Z$2:$Z12,"="&amp;Z12),""))</f>
        <v>2</v>
      </c>
      <c r="AB12" s="277">
        <f>COUNTIF($Y$2:Y11,"&lt;"&amp;Y12)</f>
        <v>0</v>
      </c>
      <c r="AC12" s="278">
        <f t="shared" si="4"/>
        <v>75</v>
      </c>
      <c r="AD12" s="279">
        <f t="shared" si="6"/>
        <v>65</v>
      </c>
      <c r="AF12" s="339" t="s">
        <v>14</v>
      </c>
      <c r="AG12" s="340">
        <v>0.0011213194444444445</v>
      </c>
      <c r="AH12" s="340">
        <v>0.0007424652777777778</v>
      </c>
      <c r="AI12" s="341">
        <f>((AG12*86400)+(AH12*86400))/86400</f>
        <v>0.0018637847222222222</v>
      </c>
    </row>
    <row r="13" spans="1:30" ht="12.75">
      <c r="A13" s="270">
        <v>124</v>
      </c>
      <c r="B13" s="271" t="s">
        <v>114</v>
      </c>
      <c r="C13" s="272" t="str">
        <f t="shared" si="0"/>
        <v>ray monik</v>
      </c>
      <c r="D13" s="273" t="s">
        <v>34</v>
      </c>
      <c r="E13" s="274">
        <v>0.001480462962962963</v>
      </c>
      <c r="F13" s="274">
        <v>0.0008539004629629629</v>
      </c>
      <c r="G13" s="274">
        <f t="shared" si="1"/>
        <v>0.002334363425925926</v>
      </c>
      <c r="H13" s="272" t="s">
        <v>140</v>
      </c>
      <c r="I13" s="272"/>
      <c r="J13" s="272"/>
      <c r="K13" s="272"/>
      <c r="L13" s="272"/>
      <c r="M13" s="272"/>
      <c r="N13" s="272"/>
      <c r="O13" s="272"/>
      <c r="P13" s="272"/>
      <c r="Q13" s="272"/>
      <c r="R13" s="272"/>
      <c r="S13" s="272"/>
      <c r="T13" s="275">
        <f t="shared" si="7"/>
      </c>
      <c r="U13" s="276"/>
      <c r="V13" s="260"/>
      <c r="W13" s="261"/>
      <c r="X13" s="262"/>
      <c r="Y13" s="277" t="str">
        <f t="shared" si="2"/>
        <v>n/a</v>
      </c>
      <c r="Z13" s="277" t="str">
        <f t="shared" si="3"/>
        <v>n/a</v>
      </c>
      <c r="AA13" s="277">
        <f>IF($Z13="n/a","",_xlfn.IFERROR(COUNTIF($Z$2:$Z13,"="&amp;Z13),""))</f>
      </c>
      <c r="AB13" s="277">
        <f>COUNTIF($Y$2:Y12,"&lt;"&amp;Y13)</f>
        <v>0</v>
      </c>
      <c r="AC13" s="278">
        <f t="shared" si="4"/>
        <v>0</v>
      </c>
      <c r="AD13" s="279">
        <f t="shared" si="6"/>
        <v>0</v>
      </c>
    </row>
    <row r="14" spans="1:30" ht="12.75">
      <c r="A14" s="315">
        <v>177</v>
      </c>
      <c r="B14" s="316" t="s">
        <v>121</v>
      </c>
      <c r="C14" s="317" t="str">
        <f t="shared" si="0"/>
        <v>gareth pedley</v>
      </c>
      <c r="D14" s="317" t="s">
        <v>5</v>
      </c>
      <c r="E14" s="318">
        <v>0.0014588425925925925</v>
      </c>
      <c r="F14" s="318">
        <v>0.0008823148148148148</v>
      </c>
      <c r="G14" s="318">
        <f t="shared" si="1"/>
        <v>0.0023411574074074072</v>
      </c>
      <c r="H14" s="317" t="s">
        <v>142</v>
      </c>
      <c r="I14" s="317"/>
      <c r="J14" s="317"/>
      <c r="K14" s="317"/>
      <c r="L14" s="317"/>
      <c r="M14" s="317"/>
      <c r="N14" s="317"/>
      <c r="O14" s="317"/>
      <c r="P14" s="317"/>
      <c r="Q14" s="317"/>
      <c r="R14" s="317">
        <v>60</v>
      </c>
      <c r="S14" s="317"/>
      <c r="T14" s="319">
        <f t="shared" si="7"/>
        <v>180.67199999999997</v>
      </c>
      <c r="U14" s="320">
        <f>(($G14*86400)-T14)/2</f>
        <v>10.802000000000007</v>
      </c>
      <c r="V14" s="260">
        <f aca="true" t="shared" si="8" ref="V14:V20">MAX(I14:S14)</f>
        <v>60</v>
      </c>
      <c r="W14" s="261">
        <v>0</v>
      </c>
      <c r="X14" s="262">
        <f aca="true" t="shared" si="9" ref="X14:X19">IF(U14&lt;=0,10,IF(U14&lt;1,5,IF(U14&lt;2,0,IF(U14&lt;3,-5,-10))))</f>
        <v>-10</v>
      </c>
      <c r="Y14" s="277">
        <f t="shared" si="2"/>
        <v>1</v>
      </c>
      <c r="Z14" s="277">
        <f t="shared" si="3"/>
        <v>2</v>
      </c>
      <c r="AA14" s="277">
        <f>IF($Z14="n/a","",_xlfn.IFERROR(COUNTIF($Z$2:$Z14,"="&amp;Z14),""))</f>
        <v>3</v>
      </c>
      <c r="AB14" s="277">
        <f>COUNTIF($Y$2:Y13,"&lt;"&amp;Y14)</f>
        <v>0</v>
      </c>
      <c r="AC14" s="278">
        <f aca="true" t="shared" si="10" ref="AC14:AC20">IF($Y14="n/a",0,_xlfn.IFERROR(VLOOKUP(AA14+AB14,Points,2,0),15))</f>
        <v>60</v>
      </c>
      <c r="AD14" s="279">
        <f t="shared" si="6"/>
        <v>50</v>
      </c>
    </row>
    <row r="15" spans="1:30" ht="12.75">
      <c r="A15" s="342">
        <v>146</v>
      </c>
      <c r="B15" s="343" t="s">
        <v>149</v>
      </c>
      <c r="C15" s="344" t="str">
        <f t="shared" si="0"/>
        <v>daniel white</v>
      </c>
      <c r="D15" s="344" t="s">
        <v>66</v>
      </c>
      <c r="E15" s="322">
        <v>0.001547928240740741</v>
      </c>
      <c r="F15" s="345">
        <v>0.0008464120370370371</v>
      </c>
      <c r="G15" s="346">
        <f t="shared" si="1"/>
        <v>0.0023943402777777782</v>
      </c>
      <c r="H15" s="344" t="s">
        <v>143</v>
      </c>
      <c r="I15" s="344"/>
      <c r="J15" s="344"/>
      <c r="K15" s="344"/>
      <c r="L15" s="344"/>
      <c r="M15" s="344">
        <v>100</v>
      </c>
      <c r="N15" s="344"/>
      <c r="O15" s="344"/>
      <c r="P15" s="344"/>
      <c r="Q15" s="344"/>
      <c r="R15" s="344"/>
      <c r="S15" s="344"/>
      <c r="T15" s="347" t="s">
        <v>111</v>
      </c>
      <c r="U15" s="348"/>
      <c r="V15" s="260">
        <f t="shared" si="8"/>
        <v>100</v>
      </c>
      <c r="W15" s="261">
        <v>-60</v>
      </c>
      <c r="X15" s="262">
        <v>0</v>
      </c>
      <c r="Y15" s="277">
        <f t="shared" si="2"/>
        <v>4</v>
      </c>
      <c r="Z15" s="277">
        <f t="shared" si="3"/>
        <v>7</v>
      </c>
      <c r="AA15" s="277">
        <f>IF($Z15="n/a","",_xlfn.IFERROR(COUNTIF($Z$2:$Z15,"="&amp;Z15),""))</f>
        <v>1</v>
      </c>
      <c r="AB15" s="277">
        <f>COUNTIF($Y$2:Y14,"&lt;"&amp;Y15)</f>
        <v>5</v>
      </c>
      <c r="AC15" s="278">
        <f t="shared" si="10"/>
        <v>15</v>
      </c>
      <c r="AD15" s="279">
        <f t="shared" si="6"/>
        <v>40</v>
      </c>
    </row>
    <row r="16" spans="1:30" ht="12.75">
      <c r="A16" s="315">
        <v>128</v>
      </c>
      <c r="B16" s="316" t="s">
        <v>204</v>
      </c>
      <c r="C16" s="317" t="str">
        <f t="shared" si="0"/>
        <v>allison rafei</v>
      </c>
      <c r="D16" s="317" t="s">
        <v>5</v>
      </c>
      <c r="E16" s="318">
        <v>0.0015082638888888888</v>
      </c>
      <c r="F16" s="318">
        <v>0.0008876388888888889</v>
      </c>
      <c r="G16" s="318">
        <f t="shared" si="1"/>
        <v>0.0023959027777777776</v>
      </c>
      <c r="H16" s="317" t="s">
        <v>35</v>
      </c>
      <c r="I16" s="317"/>
      <c r="J16" s="317"/>
      <c r="K16" s="317"/>
      <c r="L16" s="317"/>
      <c r="M16" s="317"/>
      <c r="N16" s="317"/>
      <c r="O16" s="317"/>
      <c r="P16" s="317"/>
      <c r="Q16" s="317"/>
      <c r="R16" s="317">
        <v>45</v>
      </c>
      <c r="S16" s="317"/>
      <c r="T16" s="319">
        <f>_xlfn.IFERROR(VLOOKUP(D16,BenchmarksRd2,4,0)*86400,"")</f>
        <v>180.67199999999997</v>
      </c>
      <c r="U16" s="320">
        <f>(($G16*86400)-T16)/2</f>
        <v>13.167000000000002</v>
      </c>
      <c r="V16" s="260">
        <f t="shared" si="8"/>
        <v>45</v>
      </c>
      <c r="W16" s="261">
        <v>0</v>
      </c>
      <c r="X16" s="262">
        <f t="shared" si="9"/>
        <v>-10</v>
      </c>
      <c r="Y16" s="277">
        <f t="shared" si="2"/>
        <v>1</v>
      </c>
      <c r="Z16" s="277">
        <f t="shared" si="3"/>
        <v>2</v>
      </c>
      <c r="AA16" s="277">
        <f>IF($Z16="n/a","",_xlfn.IFERROR(COUNTIF($Z$2:$Z16,"="&amp;Z16),""))</f>
        <v>4</v>
      </c>
      <c r="AB16" s="277">
        <f>COUNTIF($Y$2:Y15,"&lt;"&amp;Y16)</f>
        <v>0</v>
      </c>
      <c r="AC16" s="278">
        <f t="shared" si="10"/>
        <v>45</v>
      </c>
      <c r="AD16" s="279">
        <f t="shared" si="6"/>
        <v>35</v>
      </c>
    </row>
    <row r="17" spans="1:30" ht="12.75">
      <c r="A17" s="315">
        <v>77</v>
      </c>
      <c r="B17" s="316" t="s">
        <v>118</v>
      </c>
      <c r="C17" s="317" t="str">
        <f t="shared" si="0"/>
        <v>simeon ouzas</v>
      </c>
      <c r="D17" s="317" t="s">
        <v>5</v>
      </c>
      <c r="E17" s="318">
        <v>0.001606388888888889</v>
      </c>
      <c r="F17" s="318">
        <v>0.0008683796296296295</v>
      </c>
      <c r="G17" s="318">
        <f t="shared" si="1"/>
        <v>0.0024747685185185185</v>
      </c>
      <c r="H17" s="317" t="s">
        <v>142</v>
      </c>
      <c r="I17" s="317"/>
      <c r="J17" s="317"/>
      <c r="K17" s="317"/>
      <c r="L17" s="317"/>
      <c r="M17" s="317"/>
      <c r="N17" s="317"/>
      <c r="O17" s="317"/>
      <c r="P17" s="317"/>
      <c r="Q17" s="317"/>
      <c r="R17" s="317">
        <v>30</v>
      </c>
      <c r="S17" s="317"/>
      <c r="T17" s="319">
        <f>_xlfn.IFERROR(VLOOKUP(D17,BenchmarksRd2,4,0)*86400,"")</f>
        <v>180.67199999999997</v>
      </c>
      <c r="U17" s="320">
        <f>(($G17*86400)-T17)/2</f>
        <v>16.574000000000012</v>
      </c>
      <c r="V17" s="260">
        <f t="shared" si="8"/>
        <v>30</v>
      </c>
      <c r="W17" s="261">
        <v>0</v>
      </c>
      <c r="X17" s="262">
        <f t="shared" si="9"/>
        <v>-10</v>
      </c>
      <c r="Y17" s="277">
        <f t="shared" si="2"/>
        <v>1</v>
      </c>
      <c r="Z17" s="277">
        <f t="shared" si="3"/>
        <v>2</v>
      </c>
      <c r="AA17" s="277">
        <f>IF($Z17="n/a","",_xlfn.IFERROR(COUNTIF($Z$2:$Z17,"="&amp;Z17),""))</f>
        <v>5</v>
      </c>
      <c r="AB17" s="277">
        <f>COUNTIF($Y$2:Y16,"&lt;"&amp;Y17)</f>
        <v>0</v>
      </c>
      <c r="AC17" s="278">
        <f t="shared" si="10"/>
        <v>30</v>
      </c>
      <c r="AD17" s="279">
        <f t="shared" si="6"/>
        <v>20</v>
      </c>
    </row>
    <row r="18" spans="1:30" ht="12.75">
      <c r="A18" s="293">
        <v>11</v>
      </c>
      <c r="B18" s="294" t="s">
        <v>150</v>
      </c>
      <c r="C18" s="295" t="str">
        <f t="shared" si="0"/>
        <v>george vellis</v>
      </c>
      <c r="D18" s="295" t="s">
        <v>30</v>
      </c>
      <c r="E18" s="296">
        <v>0.001599849537037037</v>
      </c>
      <c r="F18" s="296">
        <v>0.0009337615740740739</v>
      </c>
      <c r="G18" s="296">
        <f t="shared" si="1"/>
        <v>0.002533611111111111</v>
      </c>
      <c r="H18" s="295" t="s">
        <v>142</v>
      </c>
      <c r="I18" s="295"/>
      <c r="J18" s="295"/>
      <c r="K18" s="295"/>
      <c r="L18" s="295"/>
      <c r="M18" s="295"/>
      <c r="N18" s="295"/>
      <c r="O18" s="295">
        <v>75</v>
      </c>
      <c r="P18" s="295"/>
      <c r="Q18" s="295"/>
      <c r="R18" s="295"/>
      <c r="S18" s="295"/>
      <c r="T18" s="297">
        <f>_xlfn.IFERROR(VLOOKUP(D18,BenchmarksRd2,4,0)*86400,"")</f>
        <v>176.14600000000002</v>
      </c>
      <c r="U18" s="298">
        <f>(($G18*86400)-T18)/2</f>
        <v>21.37899999999999</v>
      </c>
      <c r="V18" s="260">
        <f t="shared" si="8"/>
        <v>75</v>
      </c>
      <c r="W18" s="261">
        <v>-60</v>
      </c>
      <c r="X18" s="262">
        <f t="shared" si="9"/>
        <v>-10</v>
      </c>
      <c r="Y18" s="277">
        <f t="shared" si="2"/>
        <v>2</v>
      </c>
      <c r="Z18" s="277">
        <f t="shared" si="3"/>
        <v>3</v>
      </c>
      <c r="AA18" s="277">
        <f>IF($Z18="n/a","",_xlfn.IFERROR(COUNTIF($Z$2:$Z18,"="&amp;Z18),""))</f>
        <v>2</v>
      </c>
      <c r="AB18" s="277">
        <f>COUNTIF($Y$2:Y17,"&lt;"&amp;Y18)</f>
        <v>5</v>
      </c>
      <c r="AC18" s="278">
        <f t="shared" si="10"/>
        <v>15</v>
      </c>
      <c r="AD18" s="279">
        <f t="shared" si="6"/>
        <v>5</v>
      </c>
    </row>
    <row r="19" spans="1:30" ht="12.75">
      <c r="A19" s="349">
        <v>119</v>
      </c>
      <c r="B19" s="350" t="s">
        <v>147</v>
      </c>
      <c r="C19" s="351" t="str">
        <f t="shared" si="0"/>
        <v>peter dannock</v>
      </c>
      <c r="D19" s="351" t="s">
        <v>29</v>
      </c>
      <c r="E19" s="352">
        <v>0.0014496412037037036</v>
      </c>
      <c r="F19" s="353" t="s">
        <v>34</v>
      </c>
      <c r="G19" s="313" t="s">
        <v>34</v>
      </c>
      <c r="H19" s="351" t="s">
        <v>141</v>
      </c>
      <c r="I19" s="351"/>
      <c r="J19" s="351"/>
      <c r="K19" s="351"/>
      <c r="L19" s="351"/>
      <c r="M19" s="351"/>
      <c r="N19" s="351">
        <v>100</v>
      </c>
      <c r="O19" s="351"/>
      <c r="P19" s="351"/>
      <c r="Q19" s="351"/>
      <c r="R19" s="351"/>
      <c r="S19" s="351"/>
      <c r="T19" s="354">
        <f>AG7*86400</f>
        <v>105.558</v>
      </c>
      <c r="U19" s="355">
        <f>($E19*86400)-T19</f>
        <v>19.69099999999999</v>
      </c>
      <c r="V19" s="260">
        <f t="shared" si="8"/>
        <v>100</v>
      </c>
      <c r="W19" s="261">
        <v>-85</v>
      </c>
      <c r="X19" s="262">
        <f t="shared" si="9"/>
        <v>-10</v>
      </c>
      <c r="Y19" s="277">
        <f t="shared" si="2"/>
        <v>2</v>
      </c>
      <c r="Z19" s="277">
        <f t="shared" si="3"/>
        <v>4</v>
      </c>
      <c r="AA19" s="277">
        <f>IF($Z19="n/a","",_xlfn.IFERROR(COUNTIF($Z$2:$Z19,"="&amp;Z19),""))</f>
        <v>1</v>
      </c>
      <c r="AB19" s="277">
        <f>COUNTIF($Y$2:Y18,"&lt;"&amp;Y19)</f>
        <v>5</v>
      </c>
      <c r="AC19" s="278">
        <f t="shared" si="10"/>
        <v>15</v>
      </c>
      <c r="AD19" s="279">
        <f t="shared" si="6"/>
        <v>5</v>
      </c>
    </row>
    <row r="20" spans="1:30" ht="13.5" thickBot="1">
      <c r="A20" s="356">
        <v>21</v>
      </c>
      <c r="B20" s="357" t="s">
        <v>148</v>
      </c>
      <c r="C20" s="358" t="str">
        <f t="shared" si="0"/>
        <v>gavin newman</v>
      </c>
      <c r="D20" s="358" t="s">
        <v>66</v>
      </c>
      <c r="E20" s="359">
        <v>0.0014955555555555555</v>
      </c>
      <c r="F20" s="360" t="s">
        <v>34</v>
      </c>
      <c r="G20" s="361" t="s">
        <v>34</v>
      </c>
      <c r="H20" s="344" t="s">
        <v>143</v>
      </c>
      <c r="I20" s="344"/>
      <c r="J20" s="344"/>
      <c r="K20" s="344"/>
      <c r="L20" s="344"/>
      <c r="M20" s="344">
        <v>75</v>
      </c>
      <c r="N20" s="344"/>
      <c r="O20" s="344"/>
      <c r="P20" s="344"/>
      <c r="Q20" s="344"/>
      <c r="R20" s="344"/>
      <c r="S20" s="344"/>
      <c r="T20" s="347" t="s">
        <v>111</v>
      </c>
      <c r="U20" s="348"/>
      <c r="V20" s="260">
        <f t="shared" si="8"/>
        <v>75</v>
      </c>
      <c r="W20" s="261">
        <v>-45</v>
      </c>
      <c r="X20" s="262">
        <v>0</v>
      </c>
      <c r="Y20" s="277">
        <f t="shared" si="2"/>
        <v>4</v>
      </c>
      <c r="Z20" s="277">
        <f t="shared" si="3"/>
        <v>7</v>
      </c>
      <c r="AA20" s="277">
        <f>IF($Z20="n/a","",_xlfn.IFERROR(COUNTIF($Z$2:$Z20,"="&amp;Z20),""))</f>
        <v>2</v>
      </c>
      <c r="AB20" s="277">
        <f>COUNTIF($Y$2:Y19,"&lt;"&amp;Y20)</f>
        <v>9</v>
      </c>
      <c r="AC20" s="278">
        <f t="shared" si="10"/>
        <v>15</v>
      </c>
      <c r="AD20" s="279">
        <f t="shared" si="6"/>
        <v>30</v>
      </c>
    </row>
    <row r="21" spans="8:30" ht="13.5" thickBot="1">
      <c r="H21" s="362" t="s">
        <v>37</v>
      </c>
      <c r="I21" s="363">
        <f aca="true" t="shared" si="11" ref="I21:S21">COUNTA(I2:I20)</f>
        <v>1</v>
      </c>
      <c r="J21" s="363">
        <f t="shared" si="11"/>
        <v>0</v>
      </c>
      <c r="K21" s="363">
        <f t="shared" si="11"/>
        <v>0</v>
      </c>
      <c r="L21" s="363">
        <f t="shared" si="11"/>
        <v>1</v>
      </c>
      <c r="M21" s="363">
        <f t="shared" si="11"/>
        <v>2</v>
      </c>
      <c r="N21" s="363">
        <f t="shared" si="11"/>
        <v>1</v>
      </c>
      <c r="O21" s="363">
        <f t="shared" si="11"/>
        <v>2</v>
      </c>
      <c r="P21" s="363">
        <f t="shared" si="11"/>
        <v>1</v>
      </c>
      <c r="Q21" s="363">
        <f t="shared" si="11"/>
        <v>0</v>
      </c>
      <c r="R21" s="363">
        <f t="shared" si="11"/>
        <v>5</v>
      </c>
      <c r="S21" s="363">
        <f t="shared" si="11"/>
        <v>0</v>
      </c>
      <c r="T21" s="363"/>
      <c r="U21" s="364"/>
      <c r="V21" s="363"/>
      <c r="W21" s="363"/>
      <c r="X21" s="363"/>
      <c r="Y21" s="365"/>
      <c r="Z21" s="365"/>
      <c r="AA21" s="365"/>
      <c r="AB21" s="365"/>
      <c r="AC21" s="365"/>
      <c r="AD21" s="366">
        <f>COUNTA(AD2:AD20)</f>
        <v>19</v>
      </c>
    </row>
    <row r="23" spans="2:4" ht="12.75">
      <c r="B23" s="367"/>
      <c r="C23" s="367"/>
      <c r="D23" s="118"/>
    </row>
    <row r="25" ht="15">
      <c r="E25" s="370"/>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C2" sqref="AC2"/>
    </sheetView>
  </sheetViews>
  <sheetFormatPr defaultColWidth="9.140625" defaultRowHeight="12.75"/>
  <cols>
    <col min="1" max="1" width="7.8515625" style="251" customWidth="1"/>
    <col min="2" max="2" width="18.8515625" style="266" customWidth="1"/>
    <col min="3" max="3" width="20.8515625" style="266" hidden="1" customWidth="1"/>
    <col min="4" max="4" width="7.7109375" style="266" bestFit="1" customWidth="1"/>
    <col min="5" max="5" width="10.421875" style="266" customWidth="1"/>
    <col min="6" max="6" width="14.28125" style="266" bestFit="1" customWidth="1"/>
    <col min="7" max="7" width="9.57421875" style="266" customWidth="1"/>
    <col min="8" max="18" width="7.7109375" style="266" customWidth="1"/>
    <col min="19" max="20" width="6.7109375" style="266" customWidth="1"/>
    <col min="21" max="21" width="8.28125" style="368" customWidth="1"/>
    <col min="22" max="22" width="8.8515625" style="369" customWidth="1"/>
    <col min="23" max="23" width="8.8515625" style="368" customWidth="1"/>
    <col min="24" max="24" width="14.28125" style="266" customWidth="1"/>
    <col min="25" max="27" width="8.8515625" style="266" customWidth="1"/>
    <col min="28" max="28" width="10.8515625" style="266" customWidth="1"/>
    <col min="29" max="29" width="8.8515625" style="368" customWidth="1"/>
    <col min="30" max="31" width="8.8515625" style="266" customWidth="1"/>
    <col min="32" max="32" width="21.00390625" style="266" bestFit="1" customWidth="1"/>
    <col min="33" max="33" width="9.28125" style="266" bestFit="1" customWidth="1"/>
    <col min="34" max="16384" width="8.8515625" style="266" customWidth="1"/>
  </cols>
  <sheetData>
    <row r="1" spans="1:33" s="251" customFormat="1" ht="42.75" customHeight="1" thickBot="1">
      <c r="A1" s="371" t="s">
        <v>31</v>
      </c>
      <c r="B1" s="372" t="s">
        <v>1</v>
      </c>
      <c r="C1" s="373" t="s">
        <v>1</v>
      </c>
      <c r="D1" s="373" t="s">
        <v>2</v>
      </c>
      <c r="E1" s="374" t="s">
        <v>32</v>
      </c>
      <c r="F1" s="375"/>
      <c r="G1" s="375" t="s">
        <v>33</v>
      </c>
      <c r="H1" s="376" t="s">
        <v>14</v>
      </c>
      <c r="I1" s="377" t="s">
        <v>13</v>
      </c>
      <c r="J1" s="378" t="s">
        <v>24</v>
      </c>
      <c r="K1" s="379" t="s">
        <v>67</v>
      </c>
      <c r="L1" s="380" t="s">
        <v>66</v>
      </c>
      <c r="M1" s="381" t="s">
        <v>29</v>
      </c>
      <c r="N1" s="382" t="s">
        <v>30</v>
      </c>
      <c r="O1" s="383" t="s">
        <v>65</v>
      </c>
      <c r="P1" s="384" t="s">
        <v>4</v>
      </c>
      <c r="Q1" s="385" t="s">
        <v>5</v>
      </c>
      <c r="R1" s="386" t="s">
        <v>3</v>
      </c>
      <c r="S1" s="250" t="s">
        <v>131</v>
      </c>
      <c r="T1" s="387" t="s">
        <v>205</v>
      </c>
      <c r="U1" s="387" t="s">
        <v>108</v>
      </c>
      <c r="V1" s="388" t="s">
        <v>109</v>
      </c>
      <c r="W1" s="389" t="s">
        <v>130</v>
      </c>
      <c r="X1" s="249" t="s">
        <v>197</v>
      </c>
      <c r="Y1" s="249" t="s">
        <v>2</v>
      </c>
      <c r="Z1" s="249" t="s">
        <v>198</v>
      </c>
      <c r="AA1" s="249" t="s">
        <v>199</v>
      </c>
      <c r="AB1" s="249" t="s">
        <v>200</v>
      </c>
      <c r="AC1" s="250" t="s">
        <v>201</v>
      </c>
      <c r="AE1" s="390" t="s">
        <v>202</v>
      </c>
      <c r="AF1" s="391"/>
      <c r="AG1" s="392"/>
    </row>
    <row r="2" spans="1:33" ht="12.75">
      <c r="A2" s="393">
        <v>46</v>
      </c>
      <c r="B2" s="394" t="s">
        <v>164</v>
      </c>
      <c r="C2" s="394" t="str">
        <f>LOWER(B2)</f>
        <v>dean watchorn</v>
      </c>
      <c r="D2" s="395" t="s">
        <v>24</v>
      </c>
      <c r="E2" s="396" t="s">
        <v>165</v>
      </c>
      <c r="F2" s="394"/>
      <c r="G2" s="395" t="s">
        <v>138</v>
      </c>
      <c r="H2" s="397">
        <f>IF($D2=H$1,$S2,"")</f>
      </c>
      <c r="I2" s="397">
        <f aca="true" t="shared" si="0" ref="I2:R2">IF($D2=I$1,$S2,"")</f>
      </c>
      <c r="J2" s="397">
        <f t="shared" si="0"/>
        <v>100</v>
      </c>
      <c r="K2" s="397">
        <f t="shared" si="0"/>
      </c>
      <c r="L2" s="397">
        <f t="shared" si="0"/>
      </c>
      <c r="M2" s="397">
        <f t="shared" si="0"/>
      </c>
      <c r="N2" s="397">
        <f t="shared" si="0"/>
      </c>
      <c r="O2" s="397">
        <f t="shared" si="0"/>
      </c>
      <c r="P2" s="397">
        <f t="shared" si="0"/>
      </c>
      <c r="Q2" s="397">
        <f t="shared" si="0"/>
      </c>
      <c r="R2" s="398">
        <f t="shared" si="0"/>
      </c>
      <c r="S2" s="399">
        <f aca="true" t="shared" si="1" ref="S2:S13">_xlfn.IFERROR(VLOOKUP($Z2,Points,2,0),0)</f>
        <v>100</v>
      </c>
      <c r="T2" s="393">
        <f aca="true" t="shared" si="2" ref="T2:T13">AB2-S2</f>
        <v>0</v>
      </c>
      <c r="U2" s="400">
        <f aca="true" t="shared" si="3" ref="U2:U13">_xlfn.IFERROR(VLOOKUP(D2,BenchmarksRd3,3,0)*86400,"")</f>
        <v>97.475</v>
      </c>
      <c r="V2" s="401">
        <f aca="true" t="shared" si="4" ref="V2:V7">(($E2*86400)-U2)</f>
        <v>1.0900000000000034</v>
      </c>
      <c r="W2" s="402">
        <f aca="true" t="shared" si="5" ref="W2:W13">IF(V2&lt;=0,10,IF(V2&lt;1,5,IF(V2&lt;2,0,IF(V2&lt;3,-5,-10))))</f>
        <v>0</v>
      </c>
      <c r="X2" s="263">
        <f aca="true" t="shared" si="6" ref="X2:X13">_xlfn.IFERROR(VLOOKUP(D2,Class,4,0),"n/a")</f>
        <v>5</v>
      </c>
      <c r="Y2" s="263">
        <f aca="true" t="shared" si="7" ref="Y2:Y13">_xlfn.IFERROR(VLOOKUP(D2,Class,3,0),"n/a")</f>
        <v>9</v>
      </c>
      <c r="Z2" s="263">
        <f>IF($Y2="n/a","",_xlfn.IFERROR(COUNTIF($Y$2:$Y2,"="&amp;Y2),""))</f>
        <v>1</v>
      </c>
      <c r="AA2" s="263">
        <f>COUNTIF($X1:X$2,"&lt;"&amp;X2)</f>
        <v>0</v>
      </c>
      <c r="AB2" s="264">
        <f aca="true" t="shared" si="8" ref="AB2:AB13">IF($Y2="n/a",0,_xlfn.IFERROR(VLOOKUP(Z2+AA2,Points,2,0),15))</f>
        <v>100</v>
      </c>
      <c r="AC2" s="265">
        <f aca="true" t="shared" si="9" ref="AC2:AC13">(S2+T2+W2)</f>
        <v>100</v>
      </c>
      <c r="AE2" s="403" t="s">
        <v>3</v>
      </c>
      <c r="AF2" s="404" t="s">
        <v>174</v>
      </c>
      <c r="AG2" s="405">
        <v>0.0012429050925925925</v>
      </c>
    </row>
    <row r="3" spans="1:33" ht="12.75">
      <c r="A3" s="283">
        <v>50</v>
      </c>
      <c r="B3" s="406" t="s">
        <v>166</v>
      </c>
      <c r="C3" s="406" t="str">
        <f aca="true" t="shared" si="10" ref="C3:C13">LOWER(B3)</f>
        <v>alan conrad</v>
      </c>
      <c r="D3" s="285" t="s">
        <v>67</v>
      </c>
      <c r="E3" s="407" t="s">
        <v>167</v>
      </c>
      <c r="F3" s="408" t="s">
        <v>110</v>
      </c>
      <c r="G3" s="285" t="s">
        <v>140</v>
      </c>
      <c r="H3" s="409">
        <f aca="true" t="shared" si="11" ref="H3:R13">IF($D3=H$1,$S3,"")</f>
      </c>
      <c r="I3" s="409">
        <f t="shared" si="11"/>
      </c>
      <c r="J3" s="409">
        <f t="shared" si="11"/>
      </c>
      <c r="K3" s="409">
        <f t="shared" si="11"/>
        <v>100</v>
      </c>
      <c r="L3" s="409">
        <f t="shared" si="11"/>
      </c>
      <c r="M3" s="409">
        <f t="shared" si="11"/>
      </c>
      <c r="N3" s="409">
        <f t="shared" si="11"/>
      </c>
      <c r="O3" s="409">
        <f t="shared" si="11"/>
      </c>
      <c r="P3" s="409">
        <f t="shared" si="11"/>
      </c>
      <c r="Q3" s="409">
        <f t="shared" si="11"/>
      </c>
      <c r="R3" s="410">
        <f t="shared" si="11"/>
      </c>
      <c r="S3" s="285">
        <f t="shared" si="1"/>
        <v>100</v>
      </c>
      <c r="T3" s="283">
        <f t="shared" si="2"/>
        <v>0</v>
      </c>
      <c r="U3" s="411">
        <f t="shared" si="3"/>
        <v>109.949</v>
      </c>
      <c r="V3" s="412">
        <f t="shared" si="4"/>
        <v>-9.180999999999997</v>
      </c>
      <c r="W3" s="279">
        <f t="shared" si="5"/>
        <v>10</v>
      </c>
      <c r="X3" s="277">
        <f t="shared" si="6"/>
        <v>4</v>
      </c>
      <c r="Y3" s="277">
        <f t="shared" si="7"/>
        <v>8</v>
      </c>
      <c r="Z3" s="277">
        <f>IF($Y3="n/a","",_xlfn.IFERROR(COUNTIF($Y$2:$Y3,"="&amp;Y3),""))</f>
        <v>1</v>
      </c>
      <c r="AA3" s="277">
        <f>COUNTIF($X$2:X2,"&lt;"&amp;X3)</f>
        <v>0</v>
      </c>
      <c r="AB3" s="278">
        <f t="shared" si="8"/>
        <v>100</v>
      </c>
      <c r="AC3" s="279">
        <f t="shared" si="9"/>
        <v>110</v>
      </c>
      <c r="AE3" s="280" t="s">
        <v>5</v>
      </c>
      <c r="AF3" s="413" t="s">
        <v>206</v>
      </c>
      <c r="AG3" s="282">
        <v>0.001238275462962963</v>
      </c>
    </row>
    <row r="4" spans="1:33" ht="12.75">
      <c r="A4" s="414">
        <v>555</v>
      </c>
      <c r="B4" s="415" t="s">
        <v>168</v>
      </c>
      <c r="C4" s="415" t="str">
        <f t="shared" si="10"/>
        <v>tim meaden</v>
      </c>
      <c r="D4" s="416" t="s">
        <v>13</v>
      </c>
      <c r="E4" s="417" t="s">
        <v>169</v>
      </c>
      <c r="F4" s="415"/>
      <c r="G4" s="416" t="s">
        <v>92</v>
      </c>
      <c r="H4" s="418">
        <f t="shared" si="11"/>
      </c>
      <c r="I4" s="418">
        <f t="shared" si="11"/>
        <v>100</v>
      </c>
      <c r="J4" s="418">
        <f t="shared" si="11"/>
      </c>
      <c r="K4" s="418">
        <f t="shared" si="11"/>
      </c>
      <c r="L4" s="418">
        <f t="shared" si="11"/>
      </c>
      <c r="M4" s="418">
        <f t="shared" si="11"/>
      </c>
      <c r="N4" s="418">
        <f t="shared" si="11"/>
      </c>
      <c r="O4" s="418">
        <f t="shared" si="11"/>
      </c>
      <c r="P4" s="418">
        <f t="shared" si="11"/>
      </c>
      <c r="Q4" s="418">
        <f t="shared" si="11"/>
      </c>
      <c r="R4" s="419">
        <f t="shared" si="11"/>
      </c>
      <c r="S4" s="285">
        <f t="shared" si="1"/>
        <v>100</v>
      </c>
      <c r="T4" s="414">
        <f t="shared" si="2"/>
        <v>-40</v>
      </c>
      <c r="U4" s="420">
        <f t="shared" si="3"/>
        <v>95.917</v>
      </c>
      <c r="V4" s="421">
        <f t="shared" si="4"/>
        <v>5.387000000000015</v>
      </c>
      <c r="W4" s="422">
        <f t="shared" si="5"/>
        <v>-10</v>
      </c>
      <c r="X4" s="277">
        <f t="shared" si="6"/>
        <v>6</v>
      </c>
      <c r="Y4" s="277">
        <f t="shared" si="7"/>
        <v>10</v>
      </c>
      <c r="Z4" s="277">
        <f>IF($Y4="n/a","",_xlfn.IFERROR(COUNTIF($Y$2:$Y4,"="&amp;Y4),""))</f>
        <v>1</v>
      </c>
      <c r="AA4" s="277">
        <f>COUNTIF($X$2:X3,"&lt;"&amp;X4)</f>
        <v>2</v>
      </c>
      <c r="AB4" s="278">
        <f t="shared" si="8"/>
        <v>60</v>
      </c>
      <c r="AC4" s="279">
        <f t="shared" si="9"/>
        <v>50</v>
      </c>
      <c r="AE4" s="290" t="s">
        <v>4</v>
      </c>
      <c r="AF4" s="423" t="s">
        <v>170</v>
      </c>
      <c r="AG4" s="292">
        <v>0.0011998611111111112</v>
      </c>
    </row>
    <row r="5" spans="1:33" ht="12.75">
      <c r="A5" s="324">
        <v>88</v>
      </c>
      <c r="B5" s="424" t="s">
        <v>170</v>
      </c>
      <c r="C5" s="424" t="str">
        <f t="shared" si="10"/>
        <v>randy stagno navarra</v>
      </c>
      <c r="D5" s="326" t="s">
        <v>65</v>
      </c>
      <c r="E5" s="425" t="s">
        <v>171</v>
      </c>
      <c r="F5" s="426" t="s">
        <v>110</v>
      </c>
      <c r="G5" s="326" t="s">
        <v>140</v>
      </c>
      <c r="H5" s="427">
        <f t="shared" si="11"/>
      </c>
      <c r="I5" s="427">
        <f t="shared" si="11"/>
      </c>
      <c r="J5" s="427">
        <f t="shared" si="11"/>
      </c>
      <c r="K5" s="427">
        <f t="shared" si="11"/>
      </c>
      <c r="L5" s="427">
        <f t="shared" si="11"/>
      </c>
      <c r="M5" s="427">
        <f t="shared" si="11"/>
      </c>
      <c r="N5" s="427">
        <f t="shared" si="11"/>
      </c>
      <c r="O5" s="427">
        <f t="shared" si="11"/>
        <v>100</v>
      </c>
      <c r="P5" s="427">
        <f t="shared" si="11"/>
      </c>
      <c r="Q5" s="427">
        <f t="shared" si="11"/>
      </c>
      <c r="R5" s="428">
        <f t="shared" si="11"/>
      </c>
      <c r="S5" s="285">
        <f t="shared" si="1"/>
        <v>100</v>
      </c>
      <c r="T5" s="324">
        <f t="shared" si="2"/>
        <v>0</v>
      </c>
      <c r="U5" s="429">
        <f t="shared" si="3"/>
        <v>104.918</v>
      </c>
      <c r="V5" s="430">
        <f t="shared" si="4"/>
        <v>-1.8880000000000052</v>
      </c>
      <c r="W5" s="431">
        <f t="shared" si="5"/>
        <v>10</v>
      </c>
      <c r="X5" s="277">
        <f t="shared" si="6"/>
        <v>3</v>
      </c>
      <c r="Y5" s="277">
        <f t="shared" si="7"/>
        <v>6</v>
      </c>
      <c r="Z5" s="277">
        <f>IF($Y5="n/a","",_xlfn.IFERROR(COUNTIF($Y$2:$Y5,"="&amp;Y5),""))</f>
        <v>1</v>
      </c>
      <c r="AA5" s="277">
        <f>COUNTIF($X$2:X4,"&lt;"&amp;X5)</f>
        <v>0</v>
      </c>
      <c r="AB5" s="278">
        <f t="shared" si="8"/>
        <v>100</v>
      </c>
      <c r="AC5" s="279">
        <f t="shared" si="9"/>
        <v>110</v>
      </c>
      <c r="AE5" s="299" t="s">
        <v>65</v>
      </c>
      <c r="AF5" s="432" t="s">
        <v>170</v>
      </c>
      <c r="AG5" s="301">
        <v>0.0012143287037037038</v>
      </c>
    </row>
    <row r="6" spans="1:33" ht="12.75">
      <c r="A6" s="349">
        <v>62</v>
      </c>
      <c r="B6" s="433" t="s">
        <v>172</v>
      </c>
      <c r="C6" s="433" t="str">
        <f t="shared" si="10"/>
        <v>noel heritage</v>
      </c>
      <c r="D6" s="351" t="s">
        <v>29</v>
      </c>
      <c r="E6" s="434" t="s">
        <v>173</v>
      </c>
      <c r="F6" s="433"/>
      <c r="G6" s="351" t="s">
        <v>140</v>
      </c>
      <c r="H6" s="435">
        <f t="shared" si="11"/>
      </c>
      <c r="I6" s="435">
        <f t="shared" si="11"/>
      </c>
      <c r="J6" s="435">
        <f t="shared" si="11"/>
      </c>
      <c r="K6" s="435">
        <f t="shared" si="11"/>
      </c>
      <c r="L6" s="435">
        <f t="shared" si="11"/>
      </c>
      <c r="M6" s="435">
        <f t="shared" si="11"/>
        <v>100</v>
      </c>
      <c r="N6" s="435">
        <f t="shared" si="11"/>
      </c>
      <c r="O6" s="435">
        <f t="shared" si="11"/>
      </c>
      <c r="P6" s="435">
        <f t="shared" si="11"/>
      </c>
      <c r="Q6" s="435">
        <f t="shared" si="11"/>
      </c>
      <c r="R6" s="436">
        <f t="shared" si="11"/>
      </c>
      <c r="S6" s="285">
        <f t="shared" si="1"/>
        <v>100</v>
      </c>
      <c r="T6" s="349">
        <f t="shared" si="2"/>
        <v>0</v>
      </c>
      <c r="U6" s="437">
        <f t="shared" si="3"/>
        <v>105.558</v>
      </c>
      <c r="V6" s="438">
        <f t="shared" si="4"/>
        <v>0.0799999999999983</v>
      </c>
      <c r="W6" s="439">
        <f t="shared" si="5"/>
        <v>5</v>
      </c>
      <c r="X6" s="277">
        <f t="shared" si="6"/>
        <v>2</v>
      </c>
      <c r="Y6" s="277">
        <f t="shared" si="7"/>
        <v>4</v>
      </c>
      <c r="Z6" s="277">
        <f>IF($Y6="n/a","",_xlfn.IFERROR(COUNTIF($Y$2:$Y6,"="&amp;Y6),""))</f>
        <v>1</v>
      </c>
      <c r="AA6" s="277">
        <f>COUNTIF($X$2:X5,"&lt;"&amp;X6)</f>
        <v>0</v>
      </c>
      <c r="AB6" s="278">
        <f t="shared" si="8"/>
        <v>100</v>
      </c>
      <c r="AC6" s="279">
        <f t="shared" si="9"/>
        <v>105</v>
      </c>
      <c r="AE6" s="308" t="s">
        <v>30</v>
      </c>
      <c r="AF6" s="440" t="s">
        <v>207</v>
      </c>
      <c r="AG6" s="441">
        <v>0.0012158101851851852</v>
      </c>
    </row>
    <row r="7" spans="1:33" ht="12.75">
      <c r="A7" s="293">
        <v>26</v>
      </c>
      <c r="B7" s="442" t="s">
        <v>174</v>
      </c>
      <c r="C7" s="442" t="str">
        <f t="shared" si="10"/>
        <v>robert downes</v>
      </c>
      <c r="D7" s="295" t="s">
        <v>30</v>
      </c>
      <c r="E7" s="443" t="s">
        <v>175</v>
      </c>
      <c r="F7" s="442"/>
      <c r="G7" s="295" t="s">
        <v>176</v>
      </c>
      <c r="H7" s="444">
        <f t="shared" si="11"/>
      </c>
      <c r="I7" s="444">
        <f t="shared" si="11"/>
      </c>
      <c r="J7" s="444">
        <f t="shared" si="11"/>
      </c>
      <c r="K7" s="444">
        <f t="shared" si="11"/>
      </c>
      <c r="L7" s="444">
        <f t="shared" si="11"/>
      </c>
      <c r="M7" s="444">
        <f t="shared" si="11"/>
      </c>
      <c r="N7" s="444">
        <f t="shared" si="11"/>
        <v>100</v>
      </c>
      <c r="O7" s="444">
        <f t="shared" si="11"/>
      </c>
      <c r="P7" s="444">
        <f t="shared" si="11"/>
      </c>
      <c r="Q7" s="444">
        <f t="shared" si="11"/>
      </c>
      <c r="R7" s="445">
        <f t="shared" si="11"/>
      </c>
      <c r="S7" s="285">
        <f t="shared" si="1"/>
        <v>100</v>
      </c>
      <c r="T7" s="293">
        <f t="shared" si="2"/>
        <v>0</v>
      </c>
      <c r="U7" s="446">
        <f t="shared" si="3"/>
        <v>105.046</v>
      </c>
      <c r="V7" s="447">
        <f t="shared" si="4"/>
        <v>0.9310000000000116</v>
      </c>
      <c r="W7" s="448">
        <f t="shared" si="5"/>
        <v>5</v>
      </c>
      <c r="X7" s="277">
        <f t="shared" si="6"/>
        <v>2</v>
      </c>
      <c r="Y7" s="277">
        <f t="shared" si="7"/>
        <v>3</v>
      </c>
      <c r="Z7" s="277">
        <f>IF($Y7="n/a","",_xlfn.IFERROR(COUNTIF($Y$2:$Y7,"="&amp;Y7),""))</f>
        <v>1</v>
      </c>
      <c r="AA7" s="277">
        <f>COUNTIF($X$2:X6,"&lt;"&amp;X7)</f>
        <v>0</v>
      </c>
      <c r="AB7" s="278">
        <f t="shared" si="8"/>
        <v>100</v>
      </c>
      <c r="AC7" s="279">
        <f t="shared" si="9"/>
        <v>105</v>
      </c>
      <c r="AE7" s="312" t="s">
        <v>29</v>
      </c>
      <c r="AF7" s="449" t="s">
        <v>172</v>
      </c>
      <c r="AG7" s="314">
        <v>0.0012217361111111112</v>
      </c>
    </row>
    <row r="8" spans="1:33" ht="12.75">
      <c r="A8" s="270">
        <v>42</v>
      </c>
      <c r="B8" s="450" t="s">
        <v>177</v>
      </c>
      <c r="C8" s="450" t="str">
        <f t="shared" si="10"/>
        <v>andrew tate</v>
      </c>
      <c r="D8" s="273" t="s">
        <v>34</v>
      </c>
      <c r="E8" s="451" t="s">
        <v>178</v>
      </c>
      <c r="F8" s="450"/>
      <c r="G8" s="273" t="s">
        <v>142</v>
      </c>
      <c r="H8" s="452">
        <f t="shared" si="11"/>
      </c>
      <c r="I8" s="452">
        <f t="shared" si="11"/>
      </c>
      <c r="J8" s="452">
        <f t="shared" si="11"/>
      </c>
      <c r="K8" s="452">
        <f t="shared" si="11"/>
      </c>
      <c r="L8" s="452">
        <f t="shared" si="11"/>
      </c>
      <c r="M8" s="452">
        <f t="shared" si="11"/>
      </c>
      <c r="N8" s="452">
        <f t="shared" si="11"/>
      </c>
      <c r="O8" s="452">
        <f t="shared" si="11"/>
      </c>
      <c r="P8" s="452">
        <f t="shared" si="11"/>
      </c>
      <c r="Q8" s="452">
        <f t="shared" si="11"/>
      </c>
      <c r="R8" s="453">
        <f t="shared" si="11"/>
      </c>
      <c r="S8" s="285">
        <f t="shared" si="1"/>
        <v>0</v>
      </c>
      <c r="T8" s="302">
        <f t="shared" si="2"/>
        <v>0</v>
      </c>
      <c r="U8" s="454">
        <f t="shared" si="3"/>
      </c>
      <c r="V8" s="455"/>
      <c r="W8" s="456"/>
      <c r="X8" s="277" t="str">
        <f t="shared" si="6"/>
        <v>n/a</v>
      </c>
      <c r="Y8" s="277" t="str">
        <f t="shared" si="7"/>
        <v>n/a</v>
      </c>
      <c r="Z8" s="277">
        <f>IF($Y8="n/a","",_xlfn.IFERROR(COUNTIF($Y$2:$Y8,"="&amp;Y8),""))</f>
      </c>
      <c r="AA8" s="277">
        <f>COUNTIF($X$2:X7,"&lt;"&amp;X8)</f>
        <v>0</v>
      </c>
      <c r="AB8" s="278">
        <f t="shared" si="8"/>
        <v>0</v>
      </c>
      <c r="AC8" s="279">
        <f t="shared" si="9"/>
        <v>0</v>
      </c>
      <c r="AE8" s="321" t="s">
        <v>66</v>
      </c>
      <c r="AF8" s="457" t="s">
        <v>208</v>
      </c>
      <c r="AG8" s="323">
        <v>0.001313715277777778</v>
      </c>
    </row>
    <row r="9" spans="1:33" ht="12.75">
      <c r="A9" s="315">
        <v>612</v>
      </c>
      <c r="B9" s="458" t="s">
        <v>179</v>
      </c>
      <c r="C9" s="458" t="str">
        <f t="shared" si="10"/>
        <v>gareth pedley</v>
      </c>
      <c r="D9" s="317" t="s">
        <v>5</v>
      </c>
      <c r="E9" s="459" t="s">
        <v>180</v>
      </c>
      <c r="F9" s="458"/>
      <c r="G9" s="317" t="s">
        <v>181</v>
      </c>
      <c r="H9" s="460">
        <f t="shared" si="11"/>
      </c>
      <c r="I9" s="460">
        <f t="shared" si="11"/>
      </c>
      <c r="J9" s="460">
        <f t="shared" si="11"/>
      </c>
      <c r="K9" s="460">
        <f t="shared" si="11"/>
      </c>
      <c r="L9" s="460">
        <f t="shared" si="11"/>
      </c>
      <c r="M9" s="460">
        <f t="shared" si="11"/>
      </c>
      <c r="N9" s="460">
        <f t="shared" si="11"/>
      </c>
      <c r="O9" s="460">
        <f t="shared" si="11"/>
      </c>
      <c r="P9" s="460">
        <f t="shared" si="11"/>
      </c>
      <c r="Q9" s="460">
        <f t="shared" si="11"/>
        <v>100</v>
      </c>
      <c r="R9" s="461">
        <f t="shared" si="11"/>
      </c>
      <c r="S9" s="285">
        <f t="shared" si="1"/>
        <v>100</v>
      </c>
      <c r="T9" s="315">
        <f t="shared" si="2"/>
        <v>0</v>
      </c>
      <c r="U9" s="462">
        <f t="shared" si="3"/>
        <v>106.987</v>
      </c>
      <c r="V9" s="463">
        <f>(($E9*86400)-U9)</f>
        <v>0.6400000000000006</v>
      </c>
      <c r="W9" s="464">
        <f t="shared" si="5"/>
        <v>5</v>
      </c>
      <c r="X9" s="277">
        <f t="shared" si="6"/>
        <v>1</v>
      </c>
      <c r="Y9" s="277">
        <f t="shared" si="7"/>
        <v>2</v>
      </c>
      <c r="Z9" s="277">
        <f>IF($Y9="n/a","",_xlfn.IFERROR(COUNTIF($Y$2:$Y9,"="&amp;Y9),""))</f>
        <v>1</v>
      </c>
      <c r="AA9" s="277">
        <f>COUNTIF($X$2:X8,"&lt;"&amp;X9)</f>
        <v>0</v>
      </c>
      <c r="AB9" s="278">
        <f t="shared" si="8"/>
        <v>100</v>
      </c>
      <c r="AC9" s="279">
        <f t="shared" si="9"/>
        <v>105</v>
      </c>
      <c r="AE9" s="330" t="s">
        <v>67</v>
      </c>
      <c r="AF9" s="465" t="s">
        <v>166</v>
      </c>
      <c r="AG9" s="332">
        <v>0.0012725578703703703</v>
      </c>
    </row>
    <row r="10" spans="1:33" ht="12.75">
      <c r="A10" s="315">
        <v>77</v>
      </c>
      <c r="B10" s="458" t="s">
        <v>182</v>
      </c>
      <c r="C10" s="458" t="str">
        <f t="shared" si="10"/>
        <v>simeon ouzas</v>
      </c>
      <c r="D10" s="317" t="s">
        <v>5</v>
      </c>
      <c r="E10" s="459" t="s">
        <v>183</v>
      </c>
      <c r="F10" s="458"/>
      <c r="G10" s="317" t="s">
        <v>138</v>
      </c>
      <c r="H10" s="460">
        <f t="shared" si="11"/>
      </c>
      <c r="I10" s="460">
        <f t="shared" si="11"/>
      </c>
      <c r="J10" s="460">
        <f t="shared" si="11"/>
      </c>
      <c r="K10" s="460">
        <f t="shared" si="11"/>
      </c>
      <c r="L10" s="460">
        <f t="shared" si="11"/>
      </c>
      <c r="M10" s="460">
        <f t="shared" si="11"/>
      </c>
      <c r="N10" s="460">
        <f t="shared" si="11"/>
      </c>
      <c r="O10" s="460">
        <f t="shared" si="11"/>
      </c>
      <c r="P10" s="460">
        <f t="shared" si="11"/>
      </c>
      <c r="Q10" s="460">
        <f t="shared" si="11"/>
        <v>75</v>
      </c>
      <c r="R10" s="461">
        <f t="shared" si="11"/>
      </c>
      <c r="S10" s="285">
        <f t="shared" si="1"/>
        <v>75</v>
      </c>
      <c r="T10" s="315">
        <f t="shared" si="2"/>
        <v>0</v>
      </c>
      <c r="U10" s="462">
        <f t="shared" si="3"/>
        <v>106.987</v>
      </c>
      <c r="V10" s="463">
        <f>(($E10*86400)-U10)</f>
        <v>0.6420000000000101</v>
      </c>
      <c r="W10" s="464">
        <f>IF(V10&lt;=0,10,IF(V10&lt;1,5,IF(V10&lt;2,0,IF(V10&lt;3,-5,-10))))</f>
        <v>5</v>
      </c>
      <c r="X10" s="277">
        <f t="shared" si="6"/>
        <v>1</v>
      </c>
      <c r="Y10" s="277">
        <f t="shared" si="7"/>
        <v>2</v>
      </c>
      <c r="Z10" s="277">
        <f>IF($Y10="n/a","",_xlfn.IFERROR(COUNTIF($Y$2:$Y10,"="&amp;Y10),""))</f>
        <v>2</v>
      </c>
      <c r="AA10" s="277">
        <f>COUNTIF($X$2:X9,"&lt;"&amp;X10)</f>
        <v>0</v>
      </c>
      <c r="AB10" s="278">
        <f t="shared" si="8"/>
        <v>75</v>
      </c>
      <c r="AC10" s="279">
        <f t="shared" si="9"/>
        <v>80</v>
      </c>
      <c r="AE10" s="333" t="s">
        <v>24</v>
      </c>
      <c r="AF10" s="466" t="s">
        <v>209</v>
      </c>
      <c r="AG10" s="335">
        <v>0.0011281828703703703</v>
      </c>
    </row>
    <row r="11" spans="1:33" ht="12.75">
      <c r="A11" s="315">
        <v>21</v>
      </c>
      <c r="B11" s="316" t="s">
        <v>195</v>
      </c>
      <c r="C11" s="458" t="str">
        <f t="shared" si="10"/>
        <v>steve williamsz</v>
      </c>
      <c r="D11" s="317" t="s">
        <v>5</v>
      </c>
      <c r="E11" s="459" t="s">
        <v>184</v>
      </c>
      <c r="F11" s="458"/>
      <c r="G11" s="317" t="s">
        <v>185</v>
      </c>
      <c r="H11" s="460">
        <f t="shared" si="11"/>
      </c>
      <c r="I11" s="460">
        <f t="shared" si="11"/>
      </c>
      <c r="J11" s="460">
        <f t="shared" si="11"/>
      </c>
      <c r="K11" s="460">
        <f t="shared" si="11"/>
      </c>
      <c r="L11" s="460">
        <f t="shared" si="11"/>
      </c>
      <c r="M11" s="460">
        <f t="shared" si="11"/>
      </c>
      <c r="N11" s="460">
        <f t="shared" si="11"/>
      </c>
      <c r="O11" s="460">
        <f t="shared" si="11"/>
      </c>
      <c r="P11" s="460">
        <f t="shared" si="11"/>
      </c>
      <c r="Q11" s="460">
        <f t="shared" si="11"/>
        <v>60</v>
      </c>
      <c r="R11" s="461">
        <f t="shared" si="11"/>
      </c>
      <c r="S11" s="285">
        <f t="shared" si="1"/>
        <v>60</v>
      </c>
      <c r="T11" s="315">
        <f t="shared" si="2"/>
        <v>0</v>
      </c>
      <c r="U11" s="462">
        <f t="shared" si="3"/>
        <v>106.987</v>
      </c>
      <c r="V11" s="463">
        <f>(($E11*86400)-U11)</f>
        <v>0.7230000000000132</v>
      </c>
      <c r="W11" s="464">
        <f t="shared" si="5"/>
        <v>5</v>
      </c>
      <c r="X11" s="277">
        <f t="shared" si="6"/>
        <v>1</v>
      </c>
      <c r="Y11" s="277">
        <f t="shared" si="7"/>
        <v>2</v>
      </c>
      <c r="Z11" s="277">
        <f>IF($Y11="n/a","",_xlfn.IFERROR(COUNTIF($Y$2:$Y11,"="&amp;Y11),""))</f>
        <v>3</v>
      </c>
      <c r="AA11" s="277">
        <f>COUNTIF($X$2:X10,"&lt;"&amp;X11)</f>
        <v>0</v>
      </c>
      <c r="AB11" s="278">
        <f t="shared" si="8"/>
        <v>60</v>
      </c>
      <c r="AC11" s="279">
        <f t="shared" si="9"/>
        <v>65</v>
      </c>
      <c r="AE11" s="336" t="s">
        <v>13</v>
      </c>
      <c r="AF11" s="467" t="s">
        <v>210</v>
      </c>
      <c r="AG11" s="338">
        <v>0.001110150462962963</v>
      </c>
    </row>
    <row r="12" spans="1:33" ht="13.5" thickBot="1">
      <c r="A12" s="349">
        <v>32</v>
      </c>
      <c r="B12" s="433" t="s">
        <v>186</v>
      </c>
      <c r="C12" s="433" t="str">
        <f t="shared" si="10"/>
        <v>murray seymour</v>
      </c>
      <c r="D12" s="351" t="s">
        <v>29</v>
      </c>
      <c r="E12" s="434" t="s">
        <v>187</v>
      </c>
      <c r="F12" s="433"/>
      <c r="G12" s="351" t="s">
        <v>188</v>
      </c>
      <c r="H12" s="435">
        <f t="shared" si="11"/>
      </c>
      <c r="I12" s="435">
        <f t="shared" si="11"/>
      </c>
      <c r="J12" s="435">
        <f t="shared" si="11"/>
      </c>
      <c r="K12" s="435">
        <f t="shared" si="11"/>
      </c>
      <c r="L12" s="435">
        <f t="shared" si="11"/>
      </c>
      <c r="M12" s="435">
        <f t="shared" si="11"/>
        <v>75</v>
      </c>
      <c r="N12" s="435">
        <f t="shared" si="11"/>
      </c>
      <c r="O12" s="435">
        <f t="shared" si="11"/>
      </c>
      <c r="P12" s="435">
        <f t="shared" si="11"/>
      </c>
      <c r="Q12" s="435">
        <f t="shared" si="11"/>
      </c>
      <c r="R12" s="436">
        <f t="shared" si="11"/>
      </c>
      <c r="S12" s="285">
        <f t="shared" si="1"/>
        <v>75</v>
      </c>
      <c r="T12" s="349">
        <f t="shared" si="2"/>
        <v>-45</v>
      </c>
      <c r="U12" s="437">
        <f t="shared" si="3"/>
        <v>105.558</v>
      </c>
      <c r="V12" s="438">
        <f>(($E12*86400)-U12)</f>
        <v>3.015999999999991</v>
      </c>
      <c r="W12" s="439">
        <f t="shared" si="5"/>
        <v>-10</v>
      </c>
      <c r="X12" s="277">
        <f t="shared" si="6"/>
        <v>2</v>
      </c>
      <c r="Y12" s="277">
        <f t="shared" si="7"/>
        <v>4</v>
      </c>
      <c r="Z12" s="277">
        <f>IF($Y12="n/a","",_xlfn.IFERROR(COUNTIF($Y$2:$Y12,"="&amp;Y12),""))</f>
        <v>2</v>
      </c>
      <c r="AA12" s="277">
        <f>COUNTIF($X$2:X11,"&lt;"&amp;X12)</f>
        <v>3</v>
      </c>
      <c r="AB12" s="278">
        <f t="shared" si="8"/>
        <v>30</v>
      </c>
      <c r="AC12" s="279">
        <f t="shared" si="9"/>
        <v>20</v>
      </c>
      <c r="AE12" s="339" t="s">
        <v>14</v>
      </c>
      <c r="AF12" s="468" t="s">
        <v>211</v>
      </c>
      <c r="AG12" s="341">
        <v>0.0011213194444444445</v>
      </c>
    </row>
    <row r="13" spans="1:29" ht="13.5" thickBot="1">
      <c r="A13" s="469">
        <v>45</v>
      </c>
      <c r="B13" s="470" t="s">
        <v>189</v>
      </c>
      <c r="C13" s="470" t="str">
        <f t="shared" si="10"/>
        <v>john downes</v>
      </c>
      <c r="D13" s="471" t="s">
        <v>5</v>
      </c>
      <c r="E13" s="472" t="s">
        <v>190</v>
      </c>
      <c r="F13" s="470"/>
      <c r="G13" s="471" t="s">
        <v>142</v>
      </c>
      <c r="H13" s="473">
        <f t="shared" si="11"/>
      </c>
      <c r="I13" s="473">
        <f t="shared" si="11"/>
      </c>
      <c r="J13" s="473">
        <f t="shared" si="11"/>
      </c>
      <c r="K13" s="473">
        <f t="shared" si="11"/>
      </c>
      <c r="L13" s="473">
        <f t="shared" si="11"/>
      </c>
      <c r="M13" s="473">
        <f t="shared" si="11"/>
      </c>
      <c r="N13" s="473">
        <f t="shared" si="11"/>
      </c>
      <c r="O13" s="473">
        <f t="shared" si="11"/>
      </c>
      <c r="P13" s="473">
        <f t="shared" si="11"/>
      </c>
      <c r="Q13" s="473">
        <f t="shared" si="11"/>
        <v>45</v>
      </c>
      <c r="R13" s="474">
        <f t="shared" si="11"/>
      </c>
      <c r="S13" s="285">
        <f t="shared" si="1"/>
        <v>45</v>
      </c>
      <c r="T13" s="469">
        <f t="shared" si="2"/>
        <v>0</v>
      </c>
      <c r="U13" s="475">
        <f t="shared" si="3"/>
        <v>106.987</v>
      </c>
      <c r="V13" s="476">
        <f>(($E13*86400)-U13)</f>
        <v>3.358000000000004</v>
      </c>
      <c r="W13" s="477">
        <f t="shared" si="5"/>
        <v>-10</v>
      </c>
      <c r="X13" s="277">
        <f t="shared" si="6"/>
        <v>1</v>
      </c>
      <c r="Y13" s="277">
        <f t="shared" si="7"/>
        <v>2</v>
      </c>
      <c r="Z13" s="277">
        <f>IF($Y13="n/a","",_xlfn.IFERROR(COUNTIF($Y$2:$Y13,"="&amp;Y13),""))</f>
        <v>4</v>
      </c>
      <c r="AA13" s="277">
        <f>COUNTIF($X$2:X12,"&lt;"&amp;X13)</f>
        <v>0</v>
      </c>
      <c r="AB13" s="278">
        <f t="shared" si="8"/>
        <v>45</v>
      </c>
      <c r="AC13" s="279">
        <f t="shared" si="9"/>
        <v>35</v>
      </c>
    </row>
    <row r="14" spans="6:29" ht="13.5" thickBot="1">
      <c r="F14" s="478"/>
      <c r="G14" s="479" t="s">
        <v>37</v>
      </c>
      <c r="H14" s="480">
        <f>COUNT(H2:H13)</f>
        <v>0</v>
      </c>
      <c r="I14" s="480">
        <f aca="true" t="shared" si="12" ref="I14:R14">COUNT(I2:I13)</f>
        <v>1</v>
      </c>
      <c r="J14" s="480">
        <f t="shared" si="12"/>
        <v>1</v>
      </c>
      <c r="K14" s="480">
        <f t="shared" si="12"/>
        <v>1</v>
      </c>
      <c r="L14" s="480">
        <f t="shared" si="12"/>
        <v>0</v>
      </c>
      <c r="M14" s="480">
        <f t="shared" si="12"/>
        <v>2</v>
      </c>
      <c r="N14" s="480">
        <f t="shared" si="12"/>
        <v>1</v>
      </c>
      <c r="O14" s="480">
        <f t="shared" si="12"/>
        <v>1</v>
      </c>
      <c r="P14" s="480">
        <f t="shared" si="12"/>
        <v>0</v>
      </c>
      <c r="Q14" s="480">
        <f t="shared" si="12"/>
        <v>4</v>
      </c>
      <c r="R14" s="480">
        <f t="shared" si="12"/>
        <v>0</v>
      </c>
      <c r="S14" s="366">
        <f>COUNT(S2:S13)</f>
        <v>12</v>
      </c>
      <c r="T14" s="481"/>
      <c r="U14" s="481"/>
      <c r="V14" s="482"/>
      <c r="W14" s="481"/>
      <c r="X14" s="481"/>
      <c r="Y14" s="481"/>
      <c r="Z14" s="481"/>
      <c r="AA14" s="481"/>
      <c r="AB14" s="481"/>
      <c r="AC14" s="481"/>
    </row>
    <row r="15" spans="20:29" ht="12.75">
      <c r="T15" s="273"/>
      <c r="U15" s="450"/>
      <c r="V15" s="482"/>
      <c r="W15" s="450"/>
      <c r="X15" s="273"/>
      <c r="Y15" s="273"/>
      <c r="Z15" s="273"/>
      <c r="AA15" s="273"/>
      <c r="AB15" s="273"/>
      <c r="AC15" s="450"/>
    </row>
    <row r="16" spans="2:28" ht="12.75">
      <c r="B16" s="367"/>
      <c r="C16" s="367"/>
      <c r="D16" s="118"/>
      <c r="T16" s="118"/>
      <c r="X16" s="118"/>
      <c r="Y16" s="118"/>
      <c r="Z16" s="118"/>
      <c r="AA16" s="118"/>
      <c r="AB16" s="118"/>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29"/>
  <sheetViews>
    <sheetView zoomScalePageLayoutView="0" workbookViewId="0" topLeftCell="A1">
      <selection activeCell="A30" sqref="A30"/>
    </sheetView>
  </sheetViews>
  <sheetFormatPr defaultColWidth="9.140625" defaultRowHeight="12.75"/>
  <cols>
    <col min="1" max="1" width="6.57421875" style="32" customWidth="1"/>
    <col min="2" max="2" width="122.00390625" style="31" bestFit="1" customWidth="1"/>
    <col min="3" max="16384" width="8.8515625" style="32" customWidth="1"/>
  </cols>
  <sheetData>
    <row r="1" ht="12.75">
      <c r="A1" s="30" t="s">
        <v>12</v>
      </c>
    </row>
    <row r="2" spans="1:2" ht="14.25">
      <c r="A2" s="33" t="s">
        <v>16</v>
      </c>
      <c r="B2" s="125" t="s">
        <v>48</v>
      </c>
    </row>
    <row r="3" spans="1:2" ht="14.25">
      <c r="A3" s="33" t="s">
        <v>16</v>
      </c>
      <c r="B3" s="125" t="s">
        <v>49</v>
      </c>
    </row>
    <row r="4" spans="1:2" ht="26.25">
      <c r="A4" s="33" t="s">
        <v>16</v>
      </c>
      <c r="B4" s="133" t="s">
        <v>62</v>
      </c>
    </row>
    <row r="6" ht="12.75">
      <c r="A6" s="30" t="s">
        <v>15</v>
      </c>
    </row>
    <row r="7" spans="1:2" ht="12.75">
      <c r="A7" s="35">
        <v>1</v>
      </c>
      <c r="B7" s="31" t="s">
        <v>17</v>
      </c>
    </row>
    <row r="8" spans="1:2" ht="12.75">
      <c r="A8" s="35">
        <v>2</v>
      </c>
      <c r="B8" s="31" t="s">
        <v>80</v>
      </c>
    </row>
    <row r="9" spans="1:2" ht="12.75">
      <c r="A9" s="35">
        <v>3</v>
      </c>
      <c r="B9" s="34" t="s">
        <v>81</v>
      </c>
    </row>
    <row r="10" spans="1:2" ht="12.75">
      <c r="A10" s="35">
        <v>4</v>
      </c>
      <c r="B10" s="34" t="s">
        <v>79</v>
      </c>
    </row>
    <row r="11" spans="1:2" ht="12.75">
      <c r="A11" s="35">
        <v>5</v>
      </c>
      <c r="B11" s="31" t="s">
        <v>25</v>
      </c>
    </row>
    <row r="12" spans="1:2" ht="12.75">
      <c r="A12" s="35">
        <v>6</v>
      </c>
      <c r="B12" s="31" t="s">
        <v>11</v>
      </c>
    </row>
    <row r="13" spans="1:2" ht="12.75">
      <c r="A13" s="35">
        <v>7</v>
      </c>
      <c r="B13" s="31" t="s">
        <v>10</v>
      </c>
    </row>
    <row r="14" spans="1:2" ht="12.75">
      <c r="A14" s="35"/>
      <c r="B14" s="32"/>
    </row>
    <row r="15" ht="12.75">
      <c r="A15" s="30" t="s">
        <v>23</v>
      </c>
    </row>
    <row r="16" spans="1:2" ht="12.75">
      <c r="A16" s="35">
        <v>100</v>
      </c>
      <c r="B16" s="31" t="s">
        <v>18</v>
      </c>
    </row>
    <row r="17" spans="1:2" ht="12.75">
      <c r="A17" s="35">
        <v>75</v>
      </c>
      <c r="B17" s="31" t="s">
        <v>19</v>
      </c>
    </row>
    <row r="18" spans="1:2" ht="12.75">
      <c r="A18" s="35">
        <v>60</v>
      </c>
      <c r="B18" s="31" t="s">
        <v>20</v>
      </c>
    </row>
    <row r="19" spans="1:2" ht="12.75">
      <c r="A19" s="35">
        <v>45</v>
      </c>
      <c r="B19" s="31" t="s">
        <v>21</v>
      </c>
    </row>
    <row r="20" spans="1:2" ht="12.75">
      <c r="A20" s="35">
        <v>30</v>
      </c>
      <c r="B20" s="31" t="s">
        <v>22</v>
      </c>
    </row>
    <row r="21" spans="1:2" ht="12.75">
      <c r="A21" s="35">
        <v>15</v>
      </c>
      <c r="B21" s="126" t="s">
        <v>50</v>
      </c>
    </row>
    <row r="23" spans="1:2" ht="15" thickBot="1">
      <c r="A23" s="132" t="s">
        <v>51</v>
      </c>
      <c r="B23" s="128"/>
    </row>
    <row r="24" spans="1:2" ht="15" thickBot="1">
      <c r="A24" s="127" t="s">
        <v>57</v>
      </c>
      <c r="B24" s="129" t="s">
        <v>52</v>
      </c>
    </row>
    <row r="25" spans="1:2" ht="15" thickBot="1">
      <c r="A25" s="127" t="s">
        <v>58</v>
      </c>
      <c r="B25" s="130" t="s">
        <v>53</v>
      </c>
    </row>
    <row r="26" spans="1:2" ht="15" thickBot="1">
      <c r="A26" s="127" t="s">
        <v>59</v>
      </c>
      <c r="B26" s="130" t="s">
        <v>54</v>
      </c>
    </row>
    <row r="27" spans="1:2" ht="15" thickBot="1">
      <c r="A27" s="127" t="s">
        <v>60</v>
      </c>
      <c r="B27" s="130" t="s">
        <v>55</v>
      </c>
    </row>
    <row r="28" spans="1:2" ht="15" thickBot="1">
      <c r="A28" s="127" t="s">
        <v>61</v>
      </c>
      <c r="B28" s="130" t="s">
        <v>56</v>
      </c>
    </row>
    <row r="29" spans="1:2" ht="12.75">
      <c r="A29" s="131"/>
      <c r="B29" s="126"/>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2017-07-19T02:22:45Z</dcterms:modified>
  <cp:category/>
  <cp:version/>
  <cp:contentType/>
  <cp:contentStatus/>
</cp:coreProperties>
</file>