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36" tabRatio="757" activeTab="0"/>
  </bookViews>
  <sheets>
    <sheet name="Championship Points" sheetId="1" r:id="rId1"/>
    <sheet name="Rd1 Broadford" sheetId="2" r:id="rId2"/>
    <sheet name="Rd2 Winton" sheetId="3" r:id="rId3"/>
    <sheet name="Rd3 Winton" sheetId="4" r:id="rId4"/>
    <sheet name="Rd4 Sandown" sheetId="5" r:id="rId5"/>
    <sheet name="Rd5 Sandown" sheetId="6" r:id="rId6"/>
    <sheet name="Championship Scoring" sheetId="7" r:id="rId7"/>
  </sheets>
  <definedNames>
    <definedName name="_xlfn.IFERROR" hidden="1">#NAME?</definedName>
    <definedName name="Benchmarks" localSheetId="5">'Rd5 Sandown'!$AE$1:$AG$12</definedName>
    <definedName name="Benchmarks">'Rd4 Sandown'!$AE$1:$AG$12</definedName>
    <definedName name="BenchmarksRd1">'Rd1 Broadford'!$AE$2:$AG$12</definedName>
    <definedName name="BenchmarksRd2">'Rd2 Winton'!$AF$2:$AI$12</definedName>
    <definedName name="BenchmarksRd3">'Rd3 Winton'!$AE$2:$AG$12</definedName>
    <definedName name="BenchmarksRd4" localSheetId="5">'Rd5 Sandown'!$AE$2:$AG$12</definedName>
    <definedName name="BenchmarksRd4">'Rd4 Sandown'!$AE$2:$AG$12</definedName>
    <definedName name="BenchmarksRd5">'Rd5 Sandown'!$AE$2:$AG$12</definedName>
    <definedName name="Class">'Championship Scoring'!$A$7:$D$18</definedName>
    <definedName name="Points">'Championship Scoring'!$A$21:$B$31</definedName>
    <definedName name="Rank">#REF!</definedName>
    <definedName name="Rank2">#REF!</definedName>
  </definedNames>
  <calcPr fullCalcOnLoad="1"/>
</workbook>
</file>

<file path=xl/comments2.xml><?xml version="1.0" encoding="utf-8"?>
<comments xmlns="http://schemas.openxmlformats.org/spreadsheetml/2006/main">
  <authors>
    <author>gavinn</author>
  </authors>
  <commentList>
    <comment ref="T1" authorId="0">
      <text>
        <r>
          <rPr>
            <b/>
            <sz val="9"/>
            <rFont val="Tahoma"/>
            <family val="0"/>
          </rPr>
          <t>gavinn:</t>
        </r>
        <r>
          <rPr>
            <sz val="9"/>
            <rFont val="Tahoma"/>
            <family val="0"/>
          </rPr>
          <t xml:space="preserve">
Takes the difference between the scores before and after adjutment to display the amount of the adjustment.
This is the same as the original column to the right.</t>
        </r>
      </text>
    </comment>
    <comment ref="X1" authorId="0">
      <text>
        <r>
          <rPr>
            <b/>
            <sz val="9"/>
            <rFont val="Tahoma"/>
            <family val="0"/>
          </rPr>
          <t>gavinn:</t>
        </r>
        <r>
          <rPr>
            <sz val="9"/>
            <rFont val="Tahoma"/>
            <family val="0"/>
          </rPr>
          <t xml:space="preserve">
This establishes a ranking for the class of each car.
Low = Slow
High = Fast
It can then be used to see if a car in a slower class recorded a faster lap time</t>
        </r>
      </text>
    </comment>
    <comment ref="Y1" authorId="0">
      <text>
        <r>
          <rPr>
            <b/>
            <sz val="9"/>
            <rFont val="Tahoma"/>
            <family val="0"/>
          </rPr>
          <t>rus: The numeric code for the class</t>
        </r>
      </text>
    </comment>
    <comment ref="Z1" authorId="0">
      <text>
        <r>
          <rPr>
            <b/>
            <sz val="9"/>
            <rFont val="Tahoma"/>
            <family val="0"/>
          </rPr>
          <t>rus:</t>
        </r>
        <r>
          <rPr>
            <sz val="9"/>
            <rFont val="Tahoma"/>
            <family val="0"/>
          </rPr>
          <t xml:space="preserve">
This is the position in class the driver attained due to the laptime
</t>
        </r>
      </text>
    </comment>
    <comment ref="AA1" authorId="0">
      <text>
        <r>
          <rPr>
            <b/>
            <sz val="9"/>
            <rFont val="Tahoma"/>
            <family val="0"/>
          </rPr>
          <t>gavinn:</t>
        </r>
        <r>
          <rPr>
            <sz val="9"/>
            <rFont val="Tahoma"/>
            <family val="0"/>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0"/>
          </rPr>
          <t>gavinn:</t>
        </r>
        <r>
          <rPr>
            <sz val="9"/>
            <rFont val="Tahoma"/>
            <family val="0"/>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authors>
    <author>gavinn</author>
  </authors>
  <commentList>
    <comment ref="Y1" authorId="0">
      <text>
        <r>
          <rPr>
            <b/>
            <sz val="9"/>
            <rFont val="Tahoma"/>
            <family val="0"/>
          </rPr>
          <t>gavinn:</t>
        </r>
        <r>
          <rPr>
            <sz val="9"/>
            <rFont val="Tahoma"/>
            <family val="0"/>
          </rPr>
          <t xml:space="preserve">
This establishes a ranking for the class of each car.
Low = Slow
High = Fast
It can then be used to see if a car in a slower class recorded a faster lap time</t>
        </r>
      </text>
    </comment>
    <comment ref="Z1" authorId="0">
      <text>
        <r>
          <rPr>
            <b/>
            <sz val="9"/>
            <rFont val="Tahoma"/>
            <family val="0"/>
          </rPr>
          <t>rus: The numeric code for the class</t>
        </r>
      </text>
    </comment>
    <comment ref="AA1" authorId="0">
      <text>
        <r>
          <rPr>
            <b/>
            <sz val="9"/>
            <rFont val="Tahoma"/>
            <family val="0"/>
          </rPr>
          <t>rus:</t>
        </r>
        <r>
          <rPr>
            <sz val="9"/>
            <rFont val="Tahoma"/>
            <family val="0"/>
          </rPr>
          <t xml:space="preserve">
This is the position in class the driver attained due to the laptime
</t>
        </r>
      </text>
    </comment>
    <comment ref="AB1" authorId="0">
      <text>
        <r>
          <rPr>
            <b/>
            <sz val="9"/>
            <rFont val="Tahoma"/>
            <family val="0"/>
          </rPr>
          <t>gavinn:</t>
        </r>
        <r>
          <rPr>
            <sz val="9"/>
            <rFont val="Tahoma"/>
            <family val="0"/>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C1" authorId="0">
      <text>
        <r>
          <rPr>
            <b/>
            <sz val="9"/>
            <rFont val="Tahoma"/>
            <family val="0"/>
          </rPr>
          <t>gavinn:</t>
        </r>
        <r>
          <rPr>
            <sz val="9"/>
            <rFont val="Tahoma"/>
            <family val="0"/>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authors>
    <author>gavinn</author>
  </authors>
  <commentList>
    <comment ref="T1" authorId="0">
      <text>
        <r>
          <rPr>
            <b/>
            <sz val="9"/>
            <rFont val="Tahoma"/>
            <family val="0"/>
          </rPr>
          <t>gavinn:</t>
        </r>
        <r>
          <rPr>
            <sz val="9"/>
            <rFont val="Tahoma"/>
            <family val="0"/>
          </rPr>
          <t xml:space="preserve">
Takes the difference between the scores before and after adjutment to display the amount of the adjustment.
This is the same as the original column to the right.</t>
        </r>
      </text>
    </comment>
    <comment ref="X1" authorId="0">
      <text>
        <r>
          <rPr>
            <b/>
            <sz val="9"/>
            <rFont val="Tahoma"/>
            <family val="0"/>
          </rPr>
          <t>gavinn:</t>
        </r>
        <r>
          <rPr>
            <sz val="9"/>
            <rFont val="Tahoma"/>
            <family val="0"/>
          </rPr>
          <t xml:space="preserve">
This establishes a ranking for the class of each car.
Low = Slow
High = Fast
It can then be used to see if a car in a slower class recorded a faster lap time</t>
        </r>
      </text>
    </comment>
    <comment ref="Y1" authorId="0">
      <text>
        <r>
          <rPr>
            <b/>
            <sz val="9"/>
            <rFont val="Tahoma"/>
            <family val="0"/>
          </rPr>
          <t>rus: The numeric code for the class</t>
        </r>
      </text>
    </comment>
    <comment ref="Z1" authorId="0">
      <text>
        <r>
          <rPr>
            <b/>
            <sz val="9"/>
            <rFont val="Tahoma"/>
            <family val="0"/>
          </rPr>
          <t>rus:</t>
        </r>
        <r>
          <rPr>
            <sz val="9"/>
            <rFont val="Tahoma"/>
            <family val="0"/>
          </rPr>
          <t xml:space="preserve">
This is the position in class the driver attained due to the laptime
</t>
        </r>
      </text>
    </comment>
    <comment ref="AA1" authorId="0">
      <text>
        <r>
          <rPr>
            <b/>
            <sz val="9"/>
            <rFont val="Tahoma"/>
            <family val="0"/>
          </rPr>
          <t>gavinn:</t>
        </r>
        <r>
          <rPr>
            <sz val="9"/>
            <rFont val="Tahoma"/>
            <family val="0"/>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0"/>
          </rPr>
          <t>gavinn:</t>
        </r>
        <r>
          <rPr>
            <sz val="9"/>
            <rFont val="Tahoma"/>
            <family val="0"/>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authors>
    <author>gavinn</author>
  </authors>
  <commentList>
    <comment ref="X1" authorId="0">
      <text>
        <r>
          <rPr>
            <b/>
            <sz val="9"/>
            <rFont val="Tahoma"/>
            <family val="0"/>
          </rPr>
          <t>gavinn:</t>
        </r>
        <r>
          <rPr>
            <sz val="9"/>
            <rFont val="Tahoma"/>
            <family val="0"/>
          </rPr>
          <t xml:space="preserve">
This establishes a ranking for the class of each car.
Low = Slow
High = Fast
It can then be used to see if a car in a slower class recorded a faster lap time</t>
        </r>
      </text>
    </comment>
    <comment ref="AA1" authorId="0">
      <text>
        <r>
          <rPr>
            <b/>
            <sz val="9"/>
            <rFont val="Tahoma"/>
            <family val="0"/>
          </rPr>
          <t>gavinn:</t>
        </r>
        <r>
          <rPr>
            <sz val="9"/>
            <rFont val="Tahoma"/>
            <family val="0"/>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0"/>
          </rPr>
          <t>gavinn:</t>
        </r>
        <r>
          <rPr>
            <sz val="9"/>
            <rFont val="Tahoma"/>
            <family val="0"/>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 ref="T1" authorId="0">
      <text>
        <r>
          <rPr>
            <b/>
            <sz val="9"/>
            <rFont val="Tahoma"/>
            <family val="0"/>
          </rPr>
          <t>gavinn:</t>
        </r>
        <r>
          <rPr>
            <sz val="9"/>
            <rFont val="Tahoma"/>
            <family val="0"/>
          </rPr>
          <t xml:space="preserve">
Takes the difference between the scores before and after adjutment to display the amount of the adjustment.
This is the same as the original column to the right.</t>
        </r>
      </text>
    </comment>
    <comment ref="Z1" authorId="0">
      <text>
        <r>
          <rPr>
            <b/>
            <sz val="9"/>
            <rFont val="Tahoma"/>
            <family val="0"/>
          </rPr>
          <t>rus:</t>
        </r>
        <r>
          <rPr>
            <sz val="9"/>
            <rFont val="Tahoma"/>
            <family val="0"/>
          </rPr>
          <t xml:space="preserve">
This is the position in class the driver attained due to the laptime
</t>
        </r>
      </text>
    </comment>
    <comment ref="Y1" authorId="0">
      <text>
        <r>
          <rPr>
            <b/>
            <sz val="9"/>
            <rFont val="Tahoma"/>
            <family val="0"/>
          </rPr>
          <t>rus: The numeric code for the class</t>
        </r>
      </text>
    </comment>
  </commentList>
</comments>
</file>

<file path=xl/comments6.xml><?xml version="1.0" encoding="utf-8"?>
<comments xmlns="http://schemas.openxmlformats.org/spreadsheetml/2006/main">
  <authors>
    <author>gavinn</author>
  </authors>
  <commentList>
    <comment ref="T1" authorId="0">
      <text>
        <r>
          <rPr>
            <b/>
            <sz val="9"/>
            <rFont val="Tahoma"/>
            <family val="0"/>
          </rPr>
          <t>gavinn:</t>
        </r>
        <r>
          <rPr>
            <sz val="9"/>
            <rFont val="Tahoma"/>
            <family val="0"/>
          </rPr>
          <t xml:space="preserve">
Takes the difference between the scores before and after adjutment to display the amount of the adjustment.
This is the same as the original column to the right.</t>
        </r>
      </text>
    </comment>
    <comment ref="X1" authorId="0">
      <text>
        <r>
          <rPr>
            <b/>
            <sz val="9"/>
            <rFont val="Tahoma"/>
            <family val="0"/>
          </rPr>
          <t>gavinn:</t>
        </r>
        <r>
          <rPr>
            <sz val="9"/>
            <rFont val="Tahoma"/>
            <family val="0"/>
          </rPr>
          <t xml:space="preserve">
This establishes a ranking for the class of each car.
Low = Slow
High = Fast
It can then be used to see if a car in a slower class recorded a faster lap time</t>
        </r>
      </text>
    </comment>
    <comment ref="Y1" authorId="0">
      <text>
        <r>
          <rPr>
            <b/>
            <sz val="9"/>
            <rFont val="Tahoma"/>
            <family val="0"/>
          </rPr>
          <t>rus: The numeric code for the class</t>
        </r>
      </text>
    </comment>
    <comment ref="Z1" authorId="0">
      <text>
        <r>
          <rPr>
            <b/>
            <sz val="9"/>
            <rFont val="Tahoma"/>
            <family val="0"/>
          </rPr>
          <t>rus:</t>
        </r>
        <r>
          <rPr>
            <sz val="9"/>
            <rFont val="Tahoma"/>
            <family val="0"/>
          </rPr>
          <t xml:space="preserve">
This is the position in class the driver attained due to the laptime
</t>
        </r>
      </text>
    </comment>
    <comment ref="AA1" authorId="0">
      <text>
        <r>
          <rPr>
            <b/>
            <sz val="9"/>
            <rFont val="Tahoma"/>
            <family val="0"/>
          </rPr>
          <t>gavinn:</t>
        </r>
        <r>
          <rPr>
            <sz val="9"/>
            <rFont val="Tahoma"/>
            <family val="0"/>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0"/>
          </rPr>
          <t>gavinn:</t>
        </r>
        <r>
          <rPr>
            <sz val="9"/>
            <rFont val="Tahoma"/>
            <family val="0"/>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<sst xmlns="http://schemas.openxmlformats.org/spreadsheetml/2006/main" count="851" uniqueCount="295">
  <si>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</si>
  <si>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</si>
  <si>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</si>
  <si>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</si>
  <si>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</si>
  <si>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</si>
  <si>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</si>
  <si>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</si>
  <si>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</si>
  <si>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</si>
  <si>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</si>
  <si>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</si>
  <si>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</si>
  <si>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</si>
  <si>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</si>
  <si>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</si>
  <si>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</si>
  <si>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</si>
  <si>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</si>
  <si>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</si>
  <si>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</si>
  <si>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</si>
  <si>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</si>
  <si>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</si>
  <si>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</si>
  <si>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</si>
  <si>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</si>
  <si>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S9</t>
  </si>
  <si>
    <t>S7</t>
  </si>
  <si>
    <t># Entrants</t>
  </si>
  <si>
    <t>S25</t>
  </si>
  <si>
    <t>Alan</t>
  </si>
  <si>
    <t>CONRAD</t>
  </si>
  <si>
    <t>Tim</t>
  </si>
  <si>
    <t>MEADEN</t>
  </si>
  <si>
    <t>Noel</t>
  </si>
  <si>
    <t>HERITAGE</t>
  </si>
  <si>
    <t>Simeon</t>
  </si>
  <si>
    <t>OUZAS</t>
  </si>
  <si>
    <t>MX5 Vic - MOTORSPORT CHAMPIONSHIP 2017</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</si>
  <si>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</si>
  <si>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</si>
  <si>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</si>
  <si>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</si>
  <si>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</si>
  <si>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</si>
  <si>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</si>
  <si>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</si>
  <si>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</si>
  <si>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</si>
  <si>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</si>
  <si>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</si>
  <si>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</si>
  <si>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</si>
  <si>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</si>
  <si>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</si>
  <si>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</si>
  <si>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</si>
  <si>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</si>
  <si>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1. Broadford 15/1/17</t>
  </si>
  <si>
    <t>2. Winton 5/2/17</t>
  </si>
  <si>
    <t>3. Winton 11/3/17</t>
  </si>
  <si>
    <t>4. Sandown 23/4/17</t>
  </si>
  <si>
    <t>5. Sandown 13/5/17</t>
  </si>
  <si>
    <t>7. Winton 13/8/17</t>
  </si>
  <si>
    <t>8. Sandown 2/9/17</t>
  </si>
  <si>
    <t>9. Sydney MSP 18/11/17</t>
  </si>
  <si>
    <t>10. Philliip Island 10/12/17</t>
  </si>
  <si>
    <t>6. Phillip Island 1/7/17</t>
  </si>
  <si>
    <t>1:07.1616</t>
  </si>
  <si>
    <t>S28</t>
  </si>
  <si>
    <t>1:09.6818</t>
  </si>
  <si>
    <t>1:09.7018</t>
  </si>
  <si>
    <t>S19</t>
  </si>
  <si>
    <t>1:10.1193</t>
  </si>
  <si>
    <t>1:12.2222</t>
  </si>
  <si>
    <t>1:13.3239</t>
  </si>
  <si>
    <t>1:14.0906</t>
  </si>
  <si>
    <t>1:14.1392</t>
  </si>
  <si>
    <t>S13</t>
  </si>
  <si>
    <t>1:14.2577</t>
  </si>
  <si>
    <t>1:14.4776</t>
  </si>
  <si>
    <t>1:14.5002</t>
  </si>
  <si>
    <t>1:15.6634</t>
  </si>
  <si>
    <t>S21</t>
  </si>
  <si>
    <t>1:15.7799</t>
  </si>
  <si>
    <t>1:16.3915</t>
  </si>
  <si>
    <t>S15</t>
  </si>
  <si>
    <t>1:16.9036</t>
  </si>
  <si>
    <t>1:19.5228</t>
  </si>
  <si>
    <t>Steve</t>
  </si>
  <si>
    <t>WILLIAMSZ</t>
  </si>
  <si>
    <t>PEDLEY</t>
  </si>
  <si>
    <t>Tony</t>
  </si>
  <si>
    <t>MASLEN</t>
  </si>
  <si>
    <t>Lap record</t>
  </si>
  <si>
    <t>secs off record</t>
  </si>
  <si>
    <t>New lap record</t>
  </si>
  <si>
    <t>NotSet</t>
  </si>
  <si>
    <t>Dave MOORE</t>
  </si>
  <si>
    <t>Tim MEADEN</t>
  </si>
  <si>
    <t>Ray MONIK</t>
  </si>
  <si>
    <t>Noel HERITAGE</t>
  </si>
  <si>
    <t>Robert DOWNES</t>
  </si>
  <si>
    <t>John REID</t>
  </si>
  <si>
    <t>Simeon OUZAS</t>
  </si>
  <si>
    <t>Murray SEYMOUR</t>
  </si>
  <si>
    <t>Jarrah PITT</t>
  </si>
  <si>
    <t>Gareth PEDLEY</t>
  </si>
  <si>
    <t>Ajith PERERA</t>
  </si>
  <si>
    <t>Tony MASLEN</t>
  </si>
  <si>
    <t>Alan CONRAD</t>
  </si>
  <si>
    <t>Ibrahim</t>
  </si>
  <si>
    <t>Steve WILLIAMSZ</t>
  </si>
  <si>
    <t>Allison</t>
  </si>
  <si>
    <t>Gareth</t>
  </si>
  <si>
    <t>XClass Adjust</t>
  </si>
  <si>
    <t>Bmark Adjust</t>
  </si>
  <si>
    <t>Posn Pts</t>
  </si>
  <si>
    <t>Dave</t>
  </si>
  <si>
    <t>MOORE</t>
  </si>
  <si>
    <t>Robert</t>
  </si>
  <si>
    <t>DOWNES</t>
  </si>
  <si>
    <t>Murray</t>
  </si>
  <si>
    <t>SEYMOUR</t>
  </si>
  <si>
    <t>S10</t>
  </si>
  <si>
    <t>S5</t>
  </si>
  <si>
    <t>S6</t>
  </si>
  <si>
    <t>S4</t>
  </si>
  <si>
    <t>S8</t>
  </si>
  <si>
    <t>S1</t>
  </si>
  <si>
    <t>Leon BOGERS</t>
  </si>
  <si>
    <t>Tim EDWARDS</t>
  </si>
  <si>
    <t>John BALAZO</t>
  </si>
  <si>
    <t>Peter DANNOCK</t>
  </si>
  <si>
    <t>Gavin NEWMAN</t>
  </si>
  <si>
    <t>Daniel WHITE</t>
  </si>
  <si>
    <t>George VELLIS</t>
  </si>
  <si>
    <t>Dean MONIK</t>
  </si>
  <si>
    <t>Fastest Lap LongTrack</t>
  </si>
  <si>
    <t>Fastest Lap ShortTrack</t>
  </si>
  <si>
    <t>Fastest Laps Combined</t>
  </si>
  <si>
    <t>VELLIS</t>
  </si>
  <si>
    <t>George</t>
  </si>
  <si>
    <t>Daniel</t>
  </si>
  <si>
    <t>WHITE</t>
  </si>
  <si>
    <t>Peter</t>
  </si>
  <si>
    <t>DANNOCK</t>
  </si>
  <si>
    <t>Gavin</t>
  </si>
  <si>
    <t>NEWMAN</t>
  </si>
  <si>
    <t>EDWARDS</t>
  </si>
  <si>
    <t>Dean Watchorn</t>
  </si>
  <si>
    <t>1:38.5654</t>
  </si>
  <si>
    <t>Alan Conrad</t>
  </si>
  <si>
    <t>1:40.7676</t>
  </si>
  <si>
    <t>Tim Meaden</t>
  </si>
  <si>
    <t>1:41.3041</t>
  </si>
  <si>
    <t>Randy Stagno Navarra</t>
  </si>
  <si>
    <t>1:43.0296</t>
  </si>
  <si>
    <t>Noel Heritage</t>
  </si>
  <si>
    <t>1:45.6377</t>
  </si>
  <si>
    <t>Robert Downes</t>
  </si>
  <si>
    <t>1:45.9767</t>
  </si>
  <si>
    <t>S11</t>
  </si>
  <si>
    <t>Andrew Tate</t>
  </si>
  <si>
    <t>1:46.3170</t>
  </si>
  <si>
    <t>Gareth Pedley</t>
  </si>
  <si>
    <t>1:47.6268</t>
  </si>
  <si>
    <t>S22</t>
  </si>
  <si>
    <t>Simeon Ouzas</t>
  </si>
  <si>
    <t>1:47.6290</t>
  </si>
  <si>
    <t>1:47.7104</t>
  </si>
  <si>
    <t>S12</t>
  </si>
  <si>
    <t>Murray Seymour</t>
  </si>
  <si>
    <t>1:48.5739</t>
  </si>
  <si>
    <t>S20</t>
  </si>
  <si>
    <t>John Downes</t>
  </si>
  <si>
    <t>1:50.3445</t>
  </si>
  <si>
    <t>Dean</t>
  </si>
  <si>
    <t>WATCHORN</t>
  </si>
  <si>
    <t>Randy</t>
  </si>
  <si>
    <t>STAGNO NAVARRA</t>
  </si>
  <si>
    <t>Steve Williamsz</t>
  </si>
  <si>
    <t>John</t>
  </si>
  <si>
    <t>Dave Moore</t>
  </si>
  <si>
    <t>1:25.6502</t>
  </si>
  <si>
    <t>Dean Monik</t>
  </si>
  <si>
    <t>1:27.0509</t>
  </si>
  <si>
    <t>S26</t>
  </si>
  <si>
    <t>Paul Ledwith</t>
  </si>
  <si>
    <t>1:27.1885</t>
  </si>
  <si>
    <t>Ray Monik</t>
  </si>
  <si>
    <t>1:29.7830</t>
  </si>
  <si>
    <t>S31</t>
  </si>
  <si>
    <t>1:31.2404</t>
  </si>
  <si>
    <t>S27</t>
  </si>
  <si>
    <t>Dean Hasnat</t>
  </si>
  <si>
    <t>1:31.5196</t>
  </si>
  <si>
    <t>1:36.3089</t>
  </si>
  <si>
    <t>1:36.3719</t>
  </si>
  <si>
    <t>Sean Kent</t>
  </si>
  <si>
    <t>1:36.6851</t>
  </si>
  <si>
    <t>1:38.0258</t>
  </si>
  <si>
    <t>S18</t>
  </si>
  <si>
    <t>1:38.5139</t>
  </si>
  <si>
    <t>Ibrahim Rafei</t>
  </si>
  <si>
    <t>1:38.6852</t>
  </si>
  <si>
    <t>Allison Rafei</t>
  </si>
  <si>
    <t>1:42.7935</t>
  </si>
  <si>
    <t>S29</t>
  </si>
  <si>
    <t>Deaglan Gahan</t>
  </si>
  <si>
    <t>1:48.7557</t>
  </si>
  <si>
    <t>S17</t>
  </si>
  <si>
    <t>1:30.9898</t>
  </si>
  <si>
    <t>S14</t>
  </si>
  <si>
    <t>1:31.7520</t>
  </si>
  <si>
    <t>Daniel White</t>
  </si>
  <si>
    <t>1:35.2204</t>
  </si>
  <si>
    <t>Peter Dannock</t>
  </si>
  <si>
    <t>1:36.7098</t>
  </si>
  <si>
    <t>S16</t>
  </si>
  <si>
    <t>1:37.2549</t>
  </si>
  <si>
    <t>S23</t>
  </si>
  <si>
    <t>1:37.9744</t>
  </si>
  <si>
    <t>S32</t>
  </si>
  <si>
    <t>Gavin Newman</t>
  </si>
  <si>
    <t>1:31.6519</t>
  </si>
  <si>
    <t>John Reid</t>
  </si>
  <si>
    <t>1:38.8503</t>
  </si>
  <si>
    <t>1:40.2295</t>
  </si>
  <si>
    <t>RAFEI</t>
  </si>
  <si>
    <t>Ibrahim RAFEI</t>
  </si>
  <si>
    <t>Allison RAFEI</t>
  </si>
  <si>
    <t>Peter Bolton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</si>
  <si>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</si>
  <si>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</si>
  <si>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</si>
  <si>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</si>
  <si>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</si>
  <si>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</si>
  <si>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</si>
  <si>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</si>
  <si>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</si>
  <si>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</si>
  <si>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</si>
  <si>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</si>
  <si>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</si>
  <si>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</si>
  <si>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</si>
  <si>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</si>
  <si>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James Sanderson</t>
  </si>
  <si>
    <t>Robert Hart</t>
  </si>
  <si>
    <t>Tim Edwards</t>
  </si>
  <si>
    <t>Tim Emery</t>
  </si>
  <si>
    <t>Peter Phillips</t>
  </si>
  <si>
    <t>Leon Bogers</t>
  </si>
  <si>
    <t>Russell Garner</t>
  </si>
  <si>
    <t>Brendan Beavis</t>
  </si>
  <si>
    <t>David Wilken</t>
  </si>
  <si>
    <t>Steven Cook</t>
  </si>
  <si>
    <t>Benchmark Times prior to event</t>
  </si>
  <si>
    <t>Fred Robertson</t>
  </si>
  <si>
    <t>NSW</t>
  </si>
  <si>
    <t>1:43.7375</t>
  </si>
  <si>
    <t>1:24.9630</t>
  </si>
  <si>
    <t>1:26.8947</t>
  </si>
  <si>
    <t>1:30.9964</t>
  </si>
  <si>
    <t>1:35.5549</t>
  </si>
  <si>
    <t>1:35.5926</t>
  </si>
  <si>
    <t>1:35.8688</t>
  </si>
  <si>
    <t>1:35.9553</t>
  </si>
  <si>
    <t>1:36.0103</t>
  </si>
  <si>
    <t>1:36.6280</t>
  </si>
  <si>
    <t>1:37.0571</t>
  </si>
  <si>
    <t>Ian Vague</t>
  </si>
  <si>
    <t>1:37.1330</t>
  </si>
  <si>
    <t>1:37.2114</t>
  </si>
  <si>
    <t>Malcolm Leigh</t>
  </si>
  <si>
    <t>1:38.4285</t>
  </si>
  <si>
    <t>Jarrah Pitt</t>
  </si>
  <si>
    <t>1:39.0179</t>
  </si>
  <si>
    <t>1:40.5336</t>
  </si>
  <si>
    <t>Mike Graham</t>
  </si>
  <si>
    <t>1:40.8529</t>
  </si>
  <si>
    <t>Greg Whyte</t>
  </si>
  <si>
    <t>1:41.3700</t>
  </si>
  <si>
    <t>Peter Whitaker</t>
  </si>
  <si>
    <t>1:44.6015</t>
  </si>
  <si>
    <t>Randy Stagno N</t>
  </si>
  <si>
    <t>Ian</t>
  </si>
  <si>
    <t>VAGUE</t>
  </si>
  <si>
    <t>LEIGH</t>
  </si>
  <si>
    <t>Malcolm</t>
  </si>
  <si>
    <t>Paul</t>
  </si>
  <si>
    <t>LEDWITH</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</si>
</sst>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ss.00"/>
    <numFmt numFmtId="173" formatCode="m:ss.00"/>
    <numFmt numFmtId="174" formatCode="mmm\-yyyy"/>
    <numFmt numFmtId="175" formatCode="&quot;Yes&quot;;&quot;Yes&quot;;&quot;No&quot;"/>
    <numFmt numFmtId="176" formatCode="&quot;True&quot;;&quot;True&quot;;&quot;False&quot;"/>
    <numFmt numFmtId="177" formatCode="&quot;On&quot;;&quot;On&quot;;&quot;Off&quot;"/>
    <numFmt numFmtId="178" formatCode="ss.00"/>
    <numFmt numFmtId="179" formatCode="m:ss.000"/>
    <numFmt numFmtId="180" formatCode="0.000"/>
    <numFmt numFmtId="181" formatCode="[$€-2]\ #,##0.00_);[Red]\([$€-2]\ #,##0.00\)"/>
    <numFmt numFmtId="182" formatCode="#,##0.0000"/>
    <numFmt numFmtId="183" formatCode="[$-409]h:mm:ss\ AM/PM"/>
    <numFmt numFmtId="184" formatCode="hh:mm:ss;@"/>
    <numFmt numFmtId="185" formatCode="mm:ss.000"/>
    <numFmt numFmtId="186" formatCode="[$-C09]dddd\,\ d\ mmmm\ yyyy"/>
    <numFmt numFmtId="187" formatCode="0.0"/>
    <numFmt numFmtId="188" formatCode="d/mm/yy;@"/>
  </numFmts>
  <fonts count="50">
    <font>
      <sz val="10"/>
      <name val="Arial"/>
      <family val="0"/>
    </font>
    <font>
      <u val="single"/>
      <sz val="10"/>
      <color indexed="36"/>
      <name val="Arial"/>
      <family val="2"/>
    </font>
    <font>
      <u val="single"/>
      <sz val="10"/>
      <color indexed="12"/>
      <name val="Arial"/>
      <family val="2"/>
    </font>
    <font>
      <sz val="8"/>
      <name val="Arial"/>
      <family val="2"/>
    </font>
    <font>
      <b/>
      <u val="single"/>
      <sz val="12"/>
      <name val="Arial"/>
      <family val="2"/>
    </font>
    <font>
      <b/>
      <sz val="10"/>
      <name val="Arial"/>
      <family val="2"/>
    </font>
    <font>
      <b/>
      <u val="single"/>
      <sz val="10"/>
      <name val="Arial"/>
      <family val="2"/>
    </font>
    <font>
      <sz val="10"/>
      <name val="Symbol"/>
      <family val="1"/>
    </font>
    <font>
      <sz val="10"/>
      <color indexed="17"/>
      <name val="Arial"/>
      <family val="2"/>
    </font>
    <font>
      <sz val="10"/>
      <name val="Arial Unicode MS"/>
      <family val="2"/>
    </font>
    <font>
      <sz val="11"/>
      <name val="Calibri"/>
      <family val="2"/>
    </font>
    <font>
      <b/>
      <sz val="11"/>
      <name val="Calibri"/>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8"/>
      <name val="Arial"/>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92D05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3" tint="0.39998000860214233"/>
        <bgColor indexed="64"/>
      </patternFill>
    </fill>
    <fill>
      <patternFill patternType="solid">
        <fgColor theme="9" tint="0.39998000860214233"/>
        <bgColor indexed="64"/>
      </patternFill>
    </fill>
    <fill>
      <patternFill patternType="solid">
        <fgColor theme="2" tint="-0.24997000396251678"/>
        <bgColor indexed="64"/>
      </patternFill>
    </fill>
    <fill>
      <patternFill patternType="solid">
        <fgColor rgb="FFFFFF99"/>
        <bgColor indexed="64"/>
      </patternFill>
    </fill>
    <fill>
      <patternFill patternType="solid">
        <fgColor indexed="22"/>
        <bgColor indexed="64"/>
      </patternFill>
    </fill>
    <fill>
      <patternFill patternType="solid">
        <fgColor rgb="FFFFFF66"/>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indexed="5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right/>
      <top style="medium"/>
      <bottom style="medium"/>
    </border>
    <border>
      <left>
        <color indexed="63"/>
      </left>
      <right style="medium"/>
      <top style="medium"/>
      <bottom style="medium"/>
    </border>
    <border>
      <left style="medium"/>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49">
    <xf numFmtId="0" fontId="0" fillId="0" borderId="0" xfId="0"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4" fillId="0" borderId="0" xfId="0" applyFont="1" applyBorder="1" applyAlignment="1">
      <alignment/>
    </xf>
    <xf numFmtId="49" fontId="0" fillId="0" borderId="0" xfId="0" applyNumberFormat="1" applyBorder="1" applyAlignment="1">
      <alignment/>
    </xf>
    <xf numFmtId="0" fontId="0" fillId="0" borderId="0" xfId="0" applyFill="1" applyBorder="1" applyAlignment="1">
      <alignment horizontal="center"/>
    </xf>
    <xf numFmtId="0" fontId="5" fillId="0" borderId="0" xfId="0" applyFont="1" applyFill="1" applyBorder="1" applyAlignment="1">
      <alignment horizontal="center"/>
    </xf>
    <xf numFmtId="179" fontId="0" fillId="0" borderId="0" xfId="0" applyNumberFormat="1" applyFill="1" applyBorder="1" applyAlignment="1">
      <alignment/>
    </xf>
    <xf numFmtId="179" fontId="0" fillId="0" borderId="0" xfId="0" applyNumberFormat="1" applyFill="1" applyBorder="1" applyAlignment="1">
      <alignment horizontal="center"/>
    </xf>
    <xf numFmtId="0" fontId="6" fillId="0" borderId="0" xfId="0" applyFont="1" applyBorder="1" applyAlignment="1">
      <alignment/>
    </xf>
    <xf numFmtId="49" fontId="0" fillId="0" borderId="0" xfId="0" applyNumberFormat="1" applyBorder="1" applyAlignment="1">
      <alignment horizontal="center"/>
    </xf>
    <xf numFmtId="0" fontId="0" fillId="0" borderId="0" xfId="0" applyFont="1" applyBorder="1" applyAlignment="1">
      <alignment horizontal="left" vertical="top" wrapText="1"/>
    </xf>
    <xf numFmtId="179" fontId="0" fillId="0" borderId="0" xfId="0" applyNumberForma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0" fillId="0" borderId="10" xfId="0" applyFont="1" applyBorder="1" applyAlignment="1">
      <alignment horizontal="center" textRotation="90"/>
    </xf>
    <xf numFmtId="0" fontId="0" fillId="0" borderId="10" xfId="0" applyBorder="1" applyAlignment="1">
      <alignment textRotation="90"/>
    </xf>
    <xf numFmtId="0" fontId="0" fillId="0" borderId="0" xfId="0" applyFont="1" applyFill="1" applyBorder="1" applyAlignment="1">
      <alignment horizontal="center"/>
    </xf>
    <xf numFmtId="0" fontId="5" fillId="0" borderId="0" xfId="0" applyFont="1" applyBorder="1" applyAlignment="1" quotePrefix="1">
      <alignment horizontal="center"/>
    </xf>
    <xf numFmtId="0" fontId="5"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32" borderId="0" xfId="0" applyFill="1" applyBorder="1" applyAlignment="1">
      <alignment/>
    </xf>
    <xf numFmtId="0" fontId="0" fillId="33" borderId="0" xfId="0" applyFill="1" applyBorder="1" applyAlignment="1">
      <alignment horizontal="center"/>
    </xf>
    <xf numFmtId="0" fontId="0" fillId="34" borderId="0" xfId="0" applyFill="1" applyBorder="1" applyAlignment="1">
      <alignment horizontal="center"/>
    </xf>
    <xf numFmtId="0" fontId="0" fillId="32" borderId="0" xfId="0" applyFill="1" applyBorder="1" applyAlignment="1">
      <alignment horizontal="center"/>
    </xf>
    <xf numFmtId="0" fontId="5" fillId="34" borderId="0" xfId="0" applyFont="1" applyFill="1" applyBorder="1" applyAlignment="1" quotePrefix="1">
      <alignment horizontal="center"/>
    </xf>
    <xf numFmtId="0" fontId="0" fillId="34" borderId="0" xfId="0" applyFill="1" applyAlignment="1">
      <alignment horizontal="center"/>
    </xf>
    <xf numFmtId="0" fontId="0" fillId="34" borderId="0" xfId="0" applyFont="1" applyFill="1" applyBorder="1" applyAlignment="1">
      <alignment horizontal="center"/>
    </xf>
    <xf numFmtId="0" fontId="6" fillId="34" borderId="0" xfId="0" applyFont="1" applyFill="1" applyBorder="1" applyAlignment="1">
      <alignment/>
    </xf>
    <xf numFmtId="49" fontId="0" fillId="34" borderId="0" xfId="0" applyNumberFormat="1" applyFill="1" applyBorder="1" applyAlignment="1">
      <alignment horizontal="center"/>
    </xf>
    <xf numFmtId="0" fontId="5" fillId="32" borderId="0" xfId="0" applyFont="1" applyFill="1" applyBorder="1" applyAlignment="1" quotePrefix="1">
      <alignment horizontal="center"/>
    </xf>
    <xf numFmtId="0" fontId="0" fillId="32" borderId="0" xfId="0" applyFont="1" applyFill="1" applyBorder="1" applyAlignment="1">
      <alignment horizontal="center"/>
    </xf>
    <xf numFmtId="0" fontId="5" fillId="32" borderId="0" xfId="0" applyFont="1" applyFill="1" applyBorder="1" applyAlignment="1">
      <alignment horizontal="center"/>
    </xf>
    <xf numFmtId="0" fontId="6" fillId="32" borderId="0" xfId="0" applyFont="1" applyFill="1" applyBorder="1" applyAlignment="1">
      <alignment/>
    </xf>
    <xf numFmtId="179" fontId="0" fillId="32" borderId="0" xfId="0" applyNumberFormat="1" applyFill="1" applyBorder="1" applyAlignment="1">
      <alignment/>
    </xf>
    <xf numFmtId="0" fontId="5" fillId="33" borderId="0" xfId="0" applyFont="1" applyFill="1" applyBorder="1" applyAlignment="1" quotePrefix="1">
      <alignment horizontal="center"/>
    </xf>
    <xf numFmtId="0" fontId="0" fillId="33" borderId="0" xfId="0" applyFill="1" applyAlignment="1">
      <alignment horizontal="center"/>
    </xf>
    <xf numFmtId="0" fontId="0" fillId="33" borderId="0" xfId="0" applyFont="1" applyFill="1" applyBorder="1" applyAlignment="1">
      <alignment horizontal="center"/>
    </xf>
    <xf numFmtId="0" fontId="6" fillId="33" borderId="0" xfId="0" applyFont="1" applyFill="1" applyBorder="1" applyAlignment="1">
      <alignment/>
    </xf>
    <xf numFmtId="49" fontId="0" fillId="33" borderId="0" xfId="0" applyNumberFormat="1"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0" fillId="35" borderId="0" xfId="0" applyFont="1" applyFill="1" applyBorder="1" applyAlignment="1">
      <alignment horizontal="center"/>
    </xf>
    <xf numFmtId="0" fontId="0" fillId="35" borderId="0" xfId="0" applyFill="1" applyAlignment="1">
      <alignment horizontal="center"/>
    </xf>
    <xf numFmtId="0" fontId="6" fillId="35" borderId="0" xfId="0" applyFont="1" applyFill="1" applyBorder="1" applyAlignment="1">
      <alignment/>
    </xf>
    <xf numFmtId="49" fontId="0" fillId="35" borderId="0" xfId="0" applyNumberFormat="1" applyFill="1" applyBorder="1" applyAlignment="1">
      <alignment/>
    </xf>
    <xf numFmtId="0" fontId="5" fillId="35" borderId="0" xfId="0" applyFont="1" applyFill="1" applyBorder="1" applyAlignment="1" quotePrefix="1">
      <alignment horizontal="center"/>
    </xf>
    <xf numFmtId="0" fontId="0" fillId="35" borderId="0" xfId="0" applyFont="1" applyFill="1" applyBorder="1" applyAlignment="1">
      <alignment/>
    </xf>
    <xf numFmtId="0" fontId="0" fillId="36" borderId="0" xfId="0" applyFont="1" applyFill="1" applyBorder="1" applyAlignment="1">
      <alignment horizontal="center"/>
    </xf>
    <xf numFmtId="0" fontId="0" fillId="36" borderId="0" xfId="0" applyFill="1" applyAlignment="1">
      <alignment horizontal="center"/>
    </xf>
    <xf numFmtId="0" fontId="6" fillId="36" borderId="0" xfId="0" applyFont="1" applyFill="1" applyBorder="1" applyAlignment="1">
      <alignment/>
    </xf>
    <xf numFmtId="0" fontId="5" fillId="36" borderId="0" xfId="0" applyFont="1" applyFill="1" applyBorder="1" applyAlignment="1" quotePrefix="1">
      <alignment horizontal="center"/>
    </xf>
    <xf numFmtId="0" fontId="0" fillId="36" borderId="0" xfId="0" applyFill="1" applyAlignment="1">
      <alignment/>
    </xf>
    <xf numFmtId="0" fontId="0" fillId="34" borderId="11" xfId="0" applyFill="1" applyBorder="1" applyAlignment="1">
      <alignment horizontal="center"/>
    </xf>
    <xf numFmtId="49" fontId="5" fillId="0" borderId="0" xfId="0" applyNumberFormat="1" applyFont="1" applyBorder="1" applyAlignment="1">
      <alignment/>
    </xf>
    <xf numFmtId="0" fontId="5" fillId="0" borderId="0" xfId="0" applyNumberFormat="1" applyFont="1" applyBorder="1" applyAlignment="1">
      <alignment horizontal="center" wrapText="1"/>
    </xf>
    <xf numFmtId="0" fontId="5" fillId="0" borderId="0" xfId="0" applyFont="1" applyBorder="1" applyAlignment="1">
      <alignment horizontal="center" textRotation="90"/>
    </xf>
    <xf numFmtId="0" fontId="0" fillId="11" borderId="0" xfId="0" applyFill="1" applyBorder="1" applyAlignment="1">
      <alignment/>
    </xf>
    <xf numFmtId="0" fontId="0" fillId="11" borderId="0" xfId="0" applyFill="1" applyAlignment="1">
      <alignment/>
    </xf>
    <xf numFmtId="0" fontId="0" fillId="11" borderId="0" xfId="0" applyFill="1" applyAlignment="1">
      <alignment horizontal="center"/>
    </xf>
    <xf numFmtId="0" fontId="0" fillId="11" borderId="0" xfId="0" applyFont="1" applyFill="1" applyBorder="1" applyAlignment="1">
      <alignment horizontal="center"/>
    </xf>
    <xf numFmtId="0" fontId="0" fillId="11" borderId="0" xfId="0" applyFill="1" applyBorder="1" applyAlignment="1">
      <alignment horizontal="center"/>
    </xf>
    <xf numFmtId="0" fontId="0" fillId="11" borderId="0" xfId="0" applyFont="1" applyFill="1" applyAlignment="1">
      <alignment/>
    </xf>
    <xf numFmtId="0" fontId="0" fillId="11" borderId="0" xfId="0" applyNumberFormat="1" applyFont="1" applyFill="1" applyBorder="1" applyAlignment="1">
      <alignment horizontal="center"/>
    </xf>
    <xf numFmtId="0" fontId="5" fillId="11" borderId="0" xfId="0" applyFont="1" applyFill="1" applyBorder="1" applyAlignment="1" quotePrefix="1">
      <alignment horizontal="center"/>
    </xf>
    <xf numFmtId="0" fontId="5" fillId="11" borderId="0" xfId="0" applyFont="1" applyFill="1" applyAlignment="1">
      <alignment horizontal="center"/>
    </xf>
    <xf numFmtId="0" fontId="0" fillId="37" borderId="0" xfId="0" applyFill="1" applyBorder="1" applyAlignment="1">
      <alignment/>
    </xf>
    <xf numFmtId="0" fontId="0" fillId="37" borderId="0" xfId="0" applyFont="1" applyFill="1" applyBorder="1" applyAlignment="1">
      <alignment horizontal="center"/>
    </xf>
    <xf numFmtId="0" fontId="0" fillId="37" borderId="0" xfId="0" applyFill="1" applyBorder="1" applyAlignment="1">
      <alignment horizontal="center"/>
    </xf>
    <xf numFmtId="0" fontId="6" fillId="37" borderId="0" xfId="0" applyFont="1" applyFill="1" applyBorder="1" applyAlignment="1">
      <alignment/>
    </xf>
    <xf numFmtId="49" fontId="0" fillId="37" borderId="0" xfId="0" applyNumberFormat="1" applyFill="1" applyBorder="1" applyAlignment="1">
      <alignment/>
    </xf>
    <xf numFmtId="0" fontId="5" fillId="37" borderId="0" xfId="0" applyFont="1" applyFill="1" applyBorder="1" applyAlignment="1" quotePrefix="1">
      <alignment horizontal="center"/>
    </xf>
    <xf numFmtId="0" fontId="0" fillId="37" borderId="0" xfId="0" applyFill="1" applyAlignment="1">
      <alignment/>
    </xf>
    <xf numFmtId="0" fontId="5" fillId="37" borderId="0" xfId="0" applyFont="1" applyFill="1" applyBorder="1" applyAlignment="1">
      <alignment horizontal="center"/>
    </xf>
    <xf numFmtId="0" fontId="0" fillId="37" borderId="0" xfId="0" applyFill="1" applyAlignment="1">
      <alignment horizontal="center"/>
    </xf>
    <xf numFmtId="0" fontId="6" fillId="11" borderId="0" xfId="0" applyFont="1" applyFill="1" applyAlignment="1">
      <alignment/>
    </xf>
    <xf numFmtId="0" fontId="0" fillId="32" borderId="0" xfId="0" applyFont="1" applyFill="1" applyAlignment="1">
      <alignment horizontal="center"/>
    </xf>
    <xf numFmtId="0" fontId="5" fillId="37" borderId="12" xfId="0" applyNumberFormat="1" applyFont="1" applyFill="1" applyBorder="1" applyAlignment="1">
      <alignment horizontal="center"/>
    </xf>
    <xf numFmtId="0" fontId="5" fillId="37" borderId="13" xfId="0" applyNumberFormat="1" applyFont="1" applyFill="1" applyBorder="1" applyAlignment="1">
      <alignment horizontal="center"/>
    </xf>
    <xf numFmtId="0" fontId="5" fillId="37" borderId="14" xfId="0" applyNumberFormat="1" applyFont="1" applyFill="1" applyBorder="1" applyAlignment="1">
      <alignment horizontal="center"/>
    </xf>
    <xf numFmtId="0" fontId="5" fillId="35" borderId="12" xfId="0" applyNumberFormat="1" applyFont="1" applyFill="1" applyBorder="1" applyAlignment="1">
      <alignment horizontal="center"/>
    </xf>
    <xf numFmtId="0" fontId="5" fillId="35" borderId="13" xfId="0" applyNumberFormat="1" applyFont="1" applyFill="1" applyBorder="1" applyAlignment="1">
      <alignment horizontal="center"/>
    </xf>
    <xf numFmtId="0" fontId="5" fillId="35" borderId="14" xfId="0" applyNumberFormat="1" applyFont="1" applyFill="1" applyBorder="1" applyAlignment="1">
      <alignment horizontal="center"/>
    </xf>
    <xf numFmtId="0" fontId="5" fillId="32" borderId="12" xfId="0" applyNumberFormat="1" applyFont="1" applyFill="1" applyBorder="1" applyAlignment="1">
      <alignment horizontal="center"/>
    </xf>
    <xf numFmtId="0" fontId="5" fillId="32" borderId="13" xfId="0" applyNumberFormat="1" applyFont="1" applyFill="1" applyBorder="1" applyAlignment="1">
      <alignment horizontal="center"/>
    </xf>
    <xf numFmtId="0" fontId="5" fillId="32" borderId="14" xfId="0" applyNumberFormat="1" applyFont="1" applyFill="1" applyBorder="1" applyAlignment="1">
      <alignment horizontal="center"/>
    </xf>
    <xf numFmtId="0" fontId="5" fillId="33" borderId="12"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33" borderId="14" xfId="0" applyNumberFormat="1" applyFont="1" applyFill="1" applyBorder="1" applyAlignment="1">
      <alignment horizontal="center"/>
    </xf>
    <xf numFmtId="0" fontId="5" fillId="34" borderId="12" xfId="0" applyNumberFormat="1" applyFont="1" applyFill="1" applyBorder="1" applyAlignment="1">
      <alignment horizontal="center"/>
    </xf>
    <xf numFmtId="0" fontId="5" fillId="34" borderId="13" xfId="0" applyNumberFormat="1" applyFont="1" applyFill="1" applyBorder="1" applyAlignment="1">
      <alignment horizontal="center"/>
    </xf>
    <xf numFmtId="0" fontId="5" fillId="34" borderId="14" xfId="0" applyNumberFormat="1" applyFont="1" applyFill="1" applyBorder="1" applyAlignment="1">
      <alignment horizontal="center"/>
    </xf>
    <xf numFmtId="0" fontId="5" fillId="11" borderId="12" xfId="0" applyNumberFormat="1" applyFont="1" applyFill="1" applyBorder="1" applyAlignment="1">
      <alignment horizontal="center"/>
    </xf>
    <xf numFmtId="0" fontId="5" fillId="11" borderId="13" xfId="0" applyNumberFormat="1" applyFont="1" applyFill="1" applyBorder="1" applyAlignment="1">
      <alignment horizontal="center"/>
    </xf>
    <xf numFmtId="0" fontId="5" fillId="11" borderId="14" xfId="0" applyNumberFormat="1" applyFont="1" applyFill="1" applyBorder="1" applyAlignment="1">
      <alignment horizontal="center"/>
    </xf>
    <xf numFmtId="0" fontId="5" fillId="36" borderId="12" xfId="0" applyNumberFormat="1" applyFont="1" applyFill="1" applyBorder="1" applyAlignment="1">
      <alignment horizontal="center"/>
    </xf>
    <xf numFmtId="0" fontId="5" fillId="36" borderId="13" xfId="0" applyNumberFormat="1" applyFont="1" applyFill="1" applyBorder="1" applyAlignment="1">
      <alignment horizontal="center"/>
    </xf>
    <xf numFmtId="0" fontId="5" fillId="36" borderId="14" xfId="0" applyNumberFormat="1" applyFont="1" applyFill="1" applyBorder="1" applyAlignment="1">
      <alignment horizontal="center"/>
    </xf>
    <xf numFmtId="0" fontId="0" fillId="32" borderId="0" xfId="0" applyFont="1" applyFill="1" applyBorder="1" applyAlignment="1">
      <alignment/>
    </xf>
    <xf numFmtId="0" fontId="0" fillId="34" borderId="15" xfId="0" applyFill="1" applyBorder="1" applyAlignment="1">
      <alignment horizontal="center"/>
    </xf>
    <xf numFmtId="0" fontId="0" fillId="0" borderId="15" xfId="0" applyBorder="1" applyAlignment="1">
      <alignment horizontal="center"/>
    </xf>
    <xf numFmtId="0" fontId="0" fillId="0" borderId="11" xfId="0" applyFill="1" applyBorder="1" applyAlignment="1">
      <alignment horizontal="center"/>
    </xf>
    <xf numFmtId="0" fontId="0" fillId="32" borderId="15" xfId="0" applyFill="1" applyBorder="1" applyAlignment="1">
      <alignment horizontal="center"/>
    </xf>
    <xf numFmtId="49" fontId="5" fillId="32" borderId="0" xfId="0" applyNumberFormat="1" applyFont="1" applyFill="1" applyBorder="1" applyAlignment="1">
      <alignment horizontal="center"/>
    </xf>
    <xf numFmtId="0" fontId="0" fillId="32" borderId="11" xfId="0" applyFill="1" applyBorder="1" applyAlignment="1">
      <alignment horizontal="center"/>
    </xf>
    <xf numFmtId="0" fontId="0" fillId="35" borderId="15" xfId="0" applyFill="1" applyBorder="1" applyAlignment="1">
      <alignment horizontal="center"/>
    </xf>
    <xf numFmtId="49" fontId="0" fillId="35" borderId="0" xfId="0" applyNumberFormat="1" applyFill="1" applyBorder="1" applyAlignment="1">
      <alignment horizontal="center"/>
    </xf>
    <xf numFmtId="0" fontId="0" fillId="35" borderId="11"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0" borderId="0" xfId="53" applyAlignment="1" applyProtection="1">
      <alignment horizontal="center"/>
      <protection/>
    </xf>
    <xf numFmtId="0" fontId="0" fillId="11" borderId="15" xfId="0" applyFill="1" applyBorder="1" applyAlignment="1">
      <alignment horizontal="center"/>
    </xf>
    <xf numFmtId="49" fontId="0" fillId="11" borderId="0" xfId="0" applyNumberFormat="1" applyFill="1" applyBorder="1" applyAlignment="1">
      <alignment horizontal="center"/>
    </xf>
    <xf numFmtId="0" fontId="0" fillId="11" borderId="11" xfId="0" applyFill="1" applyBorder="1" applyAlignment="1">
      <alignment horizontal="center"/>
    </xf>
    <xf numFmtId="0" fontId="0" fillId="34" borderId="0" xfId="0" applyFont="1" applyFill="1" applyBorder="1" applyAlignment="1">
      <alignment/>
    </xf>
    <xf numFmtId="0" fontId="0" fillId="33" borderId="0" xfId="0" applyFont="1" applyFill="1" applyBorder="1" applyAlignment="1">
      <alignment/>
    </xf>
    <xf numFmtId="0" fontId="0" fillId="11" borderId="0" xfId="0" applyFont="1" applyFill="1" applyBorder="1" applyAlignment="1">
      <alignment/>
    </xf>
    <xf numFmtId="0" fontId="0" fillId="36" borderId="0" xfId="0" applyFont="1" applyFill="1" applyAlignment="1">
      <alignment/>
    </xf>
    <xf numFmtId="0" fontId="48"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11" fillId="0" borderId="0" xfId="0" applyFont="1" applyAlignment="1">
      <alignment vertical="center"/>
    </xf>
    <xf numFmtId="0" fontId="5" fillId="38" borderId="0" xfId="0" applyFont="1" applyFill="1" applyBorder="1" applyAlignment="1" quotePrefix="1">
      <alignment horizontal="center"/>
    </xf>
    <xf numFmtId="0" fontId="0" fillId="38" borderId="0" xfId="0" applyFill="1" applyAlignment="1">
      <alignment horizontal="center"/>
    </xf>
    <xf numFmtId="0" fontId="5" fillId="38" borderId="12" xfId="0" applyNumberFormat="1" applyFont="1" applyFill="1" applyBorder="1" applyAlignment="1">
      <alignment horizontal="center"/>
    </xf>
    <xf numFmtId="0" fontId="0" fillId="38" borderId="0" xfId="0" applyFont="1" applyFill="1" applyBorder="1" applyAlignment="1">
      <alignment horizontal="center"/>
    </xf>
    <xf numFmtId="0" fontId="0" fillId="38" borderId="0" xfId="0" applyFill="1" applyBorder="1" applyAlignment="1">
      <alignment horizontal="center"/>
    </xf>
    <xf numFmtId="0" fontId="5" fillId="38" borderId="13" xfId="0" applyNumberFormat="1" applyFont="1" applyFill="1" applyBorder="1" applyAlignment="1">
      <alignment horizontal="center"/>
    </xf>
    <xf numFmtId="0" fontId="0" fillId="38" borderId="0" xfId="0" applyFont="1" applyFill="1" applyAlignment="1">
      <alignment/>
    </xf>
    <xf numFmtId="0" fontId="0" fillId="38" borderId="0" xfId="0" applyFill="1" applyAlignment="1">
      <alignment/>
    </xf>
    <xf numFmtId="0" fontId="5" fillId="38" borderId="14" xfId="0" applyNumberFormat="1" applyFont="1" applyFill="1" applyBorder="1" applyAlignment="1">
      <alignment horizontal="center"/>
    </xf>
    <xf numFmtId="0" fontId="0" fillId="39" borderId="0" xfId="0" applyFill="1" applyAlignment="1">
      <alignment/>
    </xf>
    <xf numFmtId="0" fontId="5" fillId="39" borderId="12" xfId="0" applyNumberFormat="1" applyFont="1" applyFill="1" applyBorder="1" applyAlignment="1">
      <alignment horizontal="center"/>
    </xf>
    <xf numFmtId="0" fontId="0" fillId="39" borderId="0" xfId="0" applyFont="1" applyFill="1" applyBorder="1" applyAlignment="1">
      <alignment horizontal="center"/>
    </xf>
    <xf numFmtId="0" fontId="0" fillId="39" borderId="0" xfId="0" applyFill="1" applyBorder="1" applyAlignment="1">
      <alignment horizontal="center"/>
    </xf>
    <xf numFmtId="0" fontId="5" fillId="39" borderId="13" xfId="0" applyNumberFormat="1" applyFont="1" applyFill="1" applyBorder="1" applyAlignment="1">
      <alignment horizontal="center"/>
    </xf>
    <xf numFmtId="0" fontId="5" fillId="39" borderId="0" xfId="0" applyFont="1" applyFill="1" applyBorder="1" applyAlignment="1">
      <alignment horizontal="center"/>
    </xf>
    <xf numFmtId="0" fontId="0" fillId="39" borderId="0" xfId="0" applyFill="1" applyBorder="1" applyAlignment="1">
      <alignment/>
    </xf>
    <xf numFmtId="0" fontId="5" fillId="39" borderId="14" xfId="0" applyNumberFormat="1" applyFont="1" applyFill="1" applyBorder="1" applyAlignment="1">
      <alignment horizontal="center"/>
    </xf>
    <xf numFmtId="0" fontId="0" fillId="13" borderId="0" xfId="0" applyFill="1" applyAlignment="1">
      <alignment/>
    </xf>
    <xf numFmtId="0" fontId="5" fillId="13" borderId="12" xfId="0" applyNumberFormat="1" applyFont="1" applyFill="1" applyBorder="1" applyAlignment="1">
      <alignment horizontal="center"/>
    </xf>
    <xf numFmtId="0" fontId="0" fillId="13" borderId="0" xfId="0" applyFont="1" applyFill="1" applyBorder="1" applyAlignment="1">
      <alignment horizontal="center"/>
    </xf>
    <xf numFmtId="0" fontId="0" fillId="13" borderId="0" xfId="0" applyFill="1" applyBorder="1" applyAlignment="1">
      <alignment horizontal="center"/>
    </xf>
    <xf numFmtId="0" fontId="5" fillId="13" borderId="13" xfId="0" applyNumberFormat="1" applyFont="1" applyFill="1" applyBorder="1" applyAlignment="1">
      <alignment horizontal="center"/>
    </xf>
    <xf numFmtId="0" fontId="5" fillId="13" borderId="0" xfId="0" applyFont="1" applyFill="1" applyBorder="1" applyAlignment="1">
      <alignment horizontal="center"/>
    </xf>
    <xf numFmtId="0" fontId="0" fillId="13" borderId="0" xfId="0" applyFill="1" applyBorder="1" applyAlignment="1">
      <alignment/>
    </xf>
    <xf numFmtId="0" fontId="5" fillId="13" borderId="14" xfId="0" applyNumberFormat="1" applyFont="1" applyFill="1" applyBorder="1" applyAlignment="1">
      <alignment horizontal="center"/>
    </xf>
    <xf numFmtId="0" fontId="0" fillId="6" borderId="0" xfId="0" applyFill="1" applyBorder="1" applyAlignment="1">
      <alignment horizontal="center"/>
    </xf>
    <xf numFmtId="179" fontId="0" fillId="39" borderId="0" xfId="0" applyNumberFormat="1" applyFill="1" applyBorder="1" applyAlignment="1">
      <alignment horizontal="center"/>
    </xf>
    <xf numFmtId="0" fontId="0" fillId="39" borderId="0" xfId="0" applyFont="1" applyFill="1" applyAlignment="1">
      <alignment/>
    </xf>
    <xf numFmtId="179" fontId="0" fillId="13" borderId="0" xfId="0" applyNumberFormat="1" applyFill="1" applyBorder="1" applyAlignment="1">
      <alignment horizontal="center"/>
    </xf>
    <xf numFmtId="0" fontId="0" fillId="13" borderId="0" xfId="0" applyFont="1" applyFill="1" applyAlignment="1">
      <alignment/>
    </xf>
    <xf numFmtId="0" fontId="6" fillId="39" borderId="0" xfId="0" applyFont="1" applyFill="1" applyBorder="1" applyAlignment="1">
      <alignment/>
    </xf>
    <xf numFmtId="179" fontId="0" fillId="39" borderId="0" xfId="0" applyNumberFormat="1" applyFill="1" applyBorder="1" applyAlignment="1">
      <alignment/>
    </xf>
    <xf numFmtId="0" fontId="6" fillId="13" borderId="0" xfId="0" applyFont="1" applyFill="1" applyBorder="1" applyAlignment="1">
      <alignment/>
    </xf>
    <xf numFmtId="179" fontId="0" fillId="13" borderId="0" xfId="0" applyNumberFormat="1" applyFill="1" applyBorder="1" applyAlignment="1">
      <alignment/>
    </xf>
    <xf numFmtId="0" fontId="6" fillId="38" borderId="0" xfId="0" applyFont="1" applyFill="1" applyBorder="1" applyAlignment="1">
      <alignment/>
    </xf>
    <xf numFmtId="49" fontId="0" fillId="38" borderId="0" xfId="0" applyNumberFormat="1" applyFill="1" applyBorder="1" applyAlignment="1">
      <alignment horizontal="center"/>
    </xf>
    <xf numFmtId="0" fontId="5" fillId="40" borderId="12" xfId="0" applyFont="1" applyFill="1" applyBorder="1" applyAlignment="1" quotePrefix="1">
      <alignment horizontal="center"/>
    </xf>
    <xf numFmtId="0" fontId="5" fillId="40" borderId="13" xfId="0" applyFont="1" applyFill="1" applyBorder="1" applyAlignment="1" quotePrefix="1">
      <alignment horizontal="center"/>
    </xf>
    <xf numFmtId="0" fontId="5" fillId="40" borderId="14" xfId="0" applyFont="1" applyFill="1" applyBorder="1" applyAlignment="1" quotePrefix="1">
      <alignment horizontal="center"/>
    </xf>
    <xf numFmtId="179" fontId="9" fillId="0" borderId="0" xfId="0" applyNumberFormat="1" applyFont="1" applyAlignment="1">
      <alignment horizontal="center" vertical="center"/>
    </xf>
    <xf numFmtId="0" fontId="0" fillId="35" borderId="16" xfId="0" applyFill="1" applyBorder="1" applyAlignment="1">
      <alignment horizontal="center"/>
    </xf>
    <xf numFmtId="0" fontId="0" fillId="35" borderId="10" xfId="0" applyFill="1" applyBorder="1" applyAlignment="1">
      <alignment horizontal="center"/>
    </xf>
    <xf numFmtId="49" fontId="0" fillId="35" borderId="10" xfId="0" applyNumberFormat="1" applyFill="1" applyBorder="1" applyAlignment="1">
      <alignment horizontal="center"/>
    </xf>
    <xf numFmtId="0" fontId="0" fillId="35" borderId="17" xfId="0" applyFill="1" applyBorder="1" applyAlignment="1">
      <alignment horizontal="center"/>
    </xf>
    <xf numFmtId="0" fontId="0" fillId="35" borderId="10" xfId="0" applyFont="1" applyFill="1" applyBorder="1" applyAlignment="1">
      <alignment horizontal="center"/>
    </xf>
    <xf numFmtId="0" fontId="5" fillId="34" borderId="18" xfId="0" applyFont="1" applyFill="1" applyBorder="1" applyAlignment="1">
      <alignment horizontal="center" vertical="center" wrapText="1"/>
    </xf>
    <xf numFmtId="2" fontId="0" fillId="0" borderId="0" xfId="0" applyNumberFormat="1" applyAlignment="1">
      <alignment horizontal="center"/>
    </xf>
    <xf numFmtId="180" fontId="0" fillId="0" borderId="0" xfId="0" applyNumberFormat="1" applyFont="1" applyFill="1" applyBorder="1" applyAlignment="1">
      <alignment horizontal="center"/>
    </xf>
    <xf numFmtId="0" fontId="0" fillId="6" borderId="11" xfId="0" applyFill="1" applyBorder="1" applyAlignment="1">
      <alignment horizontal="center"/>
    </xf>
    <xf numFmtId="49" fontId="5" fillId="34" borderId="0" xfId="0" applyNumberFormat="1" applyFont="1" applyFill="1" applyBorder="1" applyAlignment="1">
      <alignment horizontal="center"/>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2" fontId="0" fillId="0" borderId="11" xfId="0" applyNumberFormat="1" applyBorder="1" applyAlignment="1">
      <alignment horizontal="center"/>
    </xf>
    <xf numFmtId="0" fontId="5" fillId="11" borderId="19" xfId="0" applyFont="1" applyFill="1" applyBorder="1" applyAlignment="1">
      <alignment horizontal="center" vertical="center"/>
    </xf>
    <xf numFmtId="0" fontId="5" fillId="38" borderId="19" xfId="0" applyFont="1" applyFill="1" applyBorder="1" applyAlignment="1">
      <alignment horizontal="center" vertical="center"/>
    </xf>
    <xf numFmtId="0" fontId="5" fillId="34" borderId="19" xfId="0" applyFont="1" applyFill="1" applyBorder="1" applyAlignment="1">
      <alignment horizontal="center" vertical="center"/>
    </xf>
    <xf numFmtId="0" fontId="5" fillId="33" borderId="19" xfId="0" applyFont="1" applyFill="1" applyBorder="1" applyAlignment="1">
      <alignment horizontal="center" vertical="center"/>
    </xf>
    <xf numFmtId="0" fontId="5" fillId="32" borderId="19" xfId="0" applyFont="1" applyFill="1" applyBorder="1" applyAlignment="1">
      <alignment horizontal="center" vertical="center"/>
    </xf>
    <xf numFmtId="0" fontId="5" fillId="41" borderId="19" xfId="0" applyFont="1" applyFill="1" applyBorder="1" applyAlignment="1">
      <alignment horizontal="center" vertical="center"/>
    </xf>
    <xf numFmtId="0" fontId="5" fillId="39" borderId="19" xfId="0" applyFont="1" applyFill="1" applyBorder="1" applyAlignment="1">
      <alignment horizontal="center" vertical="center"/>
    </xf>
    <xf numFmtId="0" fontId="5" fillId="13" borderId="19" xfId="0" applyFont="1" applyFill="1" applyBorder="1" applyAlignment="1">
      <alignment horizontal="center" vertical="center"/>
    </xf>
    <xf numFmtId="0" fontId="5" fillId="35" borderId="19" xfId="0" applyFont="1" applyFill="1" applyBorder="1" applyAlignment="1">
      <alignment horizontal="center" vertical="center"/>
    </xf>
    <xf numFmtId="0" fontId="5" fillId="37" borderId="20" xfId="0" applyFont="1" applyFill="1" applyBorder="1" applyAlignment="1">
      <alignment horizontal="center" vertical="center"/>
    </xf>
    <xf numFmtId="0" fontId="5" fillId="42" borderId="19" xfId="0" applyFont="1" applyFill="1" applyBorder="1" applyAlignment="1">
      <alignment horizontal="center" vertical="center"/>
    </xf>
    <xf numFmtId="0" fontId="5" fillId="42" borderId="19" xfId="0" applyFont="1" applyFill="1" applyBorder="1" applyAlignment="1">
      <alignment horizontal="center" vertical="center" wrapText="1"/>
    </xf>
    <xf numFmtId="0" fontId="5" fillId="36" borderId="19" xfId="0" applyFont="1" applyFill="1" applyBorder="1" applyAlignment="1">
      <alignment horizontal="center" vertical="center"/>
    </xf>
    <xf numFmtId="0" fontId="8" fillId="0" borderId="21" xfId="0" applyFont="1" applyFill="1" applyBorder="1" applyAlignment="1">
      <alignment horizontal="center" vertical="center"/>
    </xf>
    <xf numFmtId="1" fontId="8" fillId="0" borderId="19" xfId="0" applyNumberFormat="1" applyFont="1" applyBorder="1" applyAlignment="1">
      <alignment horizontal="center"/>
    </xf>
    <xf numFmtId="1" fontId="8" fillId="0" borderId="20" xfId="0" applyNumberFormat="1" applyFont="1" applyBorder="1" applyAlignment="1">
      <alignment horizontal="center"/>
    </xf>
    <xf numFmtId="0" fontId="5" fillId="42" borderId="21" xfId="0" applyFont="1" applyFill="1" applyBorder="1" applyAlignment="1">
      <alignment horizontal="center" vertical="center" wrapText="1"/>
    </xf>
    <xf numFmtId="179" fontId="5" fillId="42" borderId="19" xfId="0" applyNumberFormat="1" applyFont="1" applyFill="1" applyBorder="1" applyAlignment="1">
      <alignment horizontal="center" vertical="center" wrapText="1"/>
    </xf>
    <xf numFmtId="0" fontId="5" fillId="6" borderId="21" xfId="0" applyFont="1" applyFill="1" applyBorder="1" applyAlignment="1">
      <alignment horizontal="center" vertical="center" wrapText="1"/>
    </xf>
    <xf numFmtId="0" fontId="0" fillId="43" borderId="15" xfId="0" applyFill="1" applyBorder="1" applyAlignment="1">
      <alignment horizontal="center"/>
    </xf>
    <xf numFmtId="0" fontId="0" fillId="43" borderId="0" xfId="0" applyFont="1" applyFill="1" applyBorder="1" applyAlignment="1">
      <alignment horizontal="center"/>
    </xf>
    <xf numFmtId="0" fontId="0" fillId="43" borderId="0" xfId="0" applyFill="1" applyBorder="1" applyAlignment="1">
      <alignment horizontal="center"/>
    </xf>
    <xf numFmtId="0" fontId="0" fillId="36" borderId="15" xfId="0" applyFill="1" applyBorder="1" applyAlignment="1">
      <alignment horizontal="center"/>
    </xf>
    <xf numFmtId="49" fontId="0" fillId="36" borderId="0" xfId="0" applyNumberFormat="1" applyFill="1" applyBorder="1" applyAlignment="1">
      <alignment horizontal="center"/>
    </xf>
    <xf numFmtId="0" fontId="0" fillId="36" borderId="11" xfId="0" applyFill="1" applyBorder="1" applyAlignment="1">
      <alignment horizontal="center"/>
    </xf>
    <xf numFmtId="0" fontId="0" fillId="36" borderId="0" xfId="0" applyFont="1" applyFill="1" applyBorder="1" applyAlignment="1">
      <alignment/>
    </xf>
    <xf numFmtId="0" fontId="0" fillId="43" borderId="0" xfId="0" applyFont="1" applyFill="1" applyBorder="1" applyAlignment="1">
      <alignment/>
    </xf>
    <xf numFmtId="179" fontId="0" fillId="43" borderId="0" xfId="0" applyNumberFormat="1" applyFill="1" applyBorder="1" applyAlignment="1">
      <alignment/>
    </xf>
    <xf numFmtId="0" fontId="5" fillId="43" borderId="0" xfId="0" applyFont="1" applyFill="1" applyBorder="1" applyAlignment="1" quotePrefix="1">
      <alignment horizontal="center"/>
    </xf>
    <xf numFmtId="0" fontId="0" fillId="43" borderId="0" xfId="0" applyFont="1" applyFill="1" applyAlignment="1">
      <alignment horizontal="center"/>
    </xf>
    <xf numFmtId="0" fontId="5" fillId="43" borderId="12" xfId="0" applyNumberFormat="1" applyFont="1" applyFill="1" applyBorder="1" applyAlignment="1">
      <alignment horizontal="center"/>
    </xf>
    <xf numFmtId="0" fontId="5" fillId="43" borderId="13" xfId="0" applyNumberFormat="1" applyFont="1" applyFill="1" applyBorder="1" applyAlignment="1">
      <alignment horizontal="center"/>
    </xf>
    <xf numFmtId="0" fontId="0" fillId="43" borderId="0" xfId="0" applyFill="1" applyBorder="1" applyAlignment="1">
      <alignment/>
    </xf>
    <xf numFmtId="0" fontId="5" fillId="43" borderId="0" xfId="0" applyFont="1" applyFill="1" applyBorder="1" applyAlignment="1">
      <alignment horizontal="center"/>
    </xf>
    <xf numFmtId="0" fontId="5" fillId="43" borderId="14" xfId="0" applyNumberFormat="1" applyFont="1" applyFill="1" applyBorder="1" applyAlignment="1">
      <alignment horizontal="center"/>
    </xf>
    <xf numFmtId="0" fontId="6" fillId="43" borderId="0" xfId="0" applyFont="1" applyFill="1" applyBorder="1" applyAlignment="1">
      <alignment/>
    </xf>
    <xf numFmtId="49" fontId="0" fillId="32" borderId="0" xfId="0" applyNumberFormat="1" applyFill="1" applyBorder="1" applyAlignment="1">
      <alignment horizontal="center"/>
    </xf>
    <xf numFmtId="0" fontId="0" fillId="36" borderId="11" xfId="0" applyFont="1" applyFill="1" applyBorder="1" applyAlignment="1">
      <alignment/>
    </xf>
    <xf numFmtId="0" fontId="0" fillId="35" borderId="11" xfId="0" applyFill="1" applyBorder="1" applyAlignment="1">
      <alignment/>
    </xf>
    <xf numFmtId="0" fontId="0" fillId="11" borderId="11" xfId="0" applyFont="1" applyFill="1" applyBorder="1" applyAlignment="1">
      <alignment/>
    </xf>
    <xf numFmtId="0" fontId="0" fillId="35" borderId="11" xfId="0" applyFont="1" applyFill="1" applyBorder="1" applyAlignment="1">
      <alignment/>
    </xf>
    <xf numFmtId="0" fontId="0" fillId="32" borderId="11" xfId="0" applyFont="1" applyFill="1" applyBorder="1" applyAlignment="1">
      <alignment/>
    </xf>
    <xf numFmtId="0" fontId="0" fillId="32" borderId="15" xfId="0" applyFont="1" applyFill="1" applyBorder="1" applyAlignment="1">
      <alignment horizontal="center"/>
    </xf>
    <xf numFmtId="0" fontId="0" fillId="41" borderId="0" xfId="0" applyFill="1" applyBorder="1" applyAlignment="1">
      <alignment horizontal="center"/>
    </xf>
    <xf numFmtId="0" fontId="0" fillId="41" borderId="11" xfId="0" applyFill="1" applyBorder="1" applyAlignment="1">
      <alignment horizontal="center"/>
    </xf>
    <xf numFmtId="0" fontId="0" fillId="33" borderId="11" xfId="0" applyFill="1" applyBorder="1" applyAlignment="1">
      <alignment horizontal="center"/>
    </xf>
    <xf numFmtId="0" fontId="0" fillId="39" borderId="11" xfId="0" applyFill="1" applyBorder="1" applyAlignment="1">
      <alignment horizontal="center"/>
    </xf>
    <xf numFmtId="0" fontId="0" fillId="33" borderId="10" xfId="0" applyFill="1" applyBorder="1" applyAlignment="1">
      <alignment horizontal="center"/>
    </xf>
    <xf numFmtId="180" fontId="0" fillId="0" borderId="10" xfId="0" applyNumberFormat="1" applyFont="1" applyFill="1" applyBorder="1" applyAlignment="1">
      <alignment horizontal="center"/>
    </xf>
    <xf numFmtId="0" fontId="0" fillId="36" borderId="22" xfId="0" applyFont="1" applyFill="1" applyBorder="1" applyAlignment="1">
      <alignment/>
    </xf>
    <xf numFmtId="0" fontId="0" fillId="36" borderId="22" xfId="0" applyFill="1" applyBorder="1" applyAlignment="1">
      <alignment horizontal="center"/>
    </xf>
    <xf numFmtId="0" fontId="0" fillId="36" borderId="23" xfId="0" applyFill="1" applyBorder="1" applyAlignment="1">
      <alignment horizontal="center"/>
    </xf>
    <xf numFmtId="0" fontId="0" fillId="0" borderId="0" xfId="0" applyFont="1" applyBorder="1" applyAlignment="1">
      <alignment/>
    </xf>
    <xf numFmtId="0" fontId="0" fillId="41" borderId="0" xfId="0" applyFont="1" applyFill="1" applyBorder="1" applyAlignment="1">
      <alignment/>
    </xf>
    <xf numFmtId="0" fontId="0" fillId="39" borderId="0" xfId="0" applyFont="1" applyFill="1" applyBorder="1" applyAlignment="1">
      <alignment/>
    </xf>
    <xf numFmtId="0" fontId="0" fillId="33" borderId="10" xfId="0" applyFont="1" applyFill="1" applyBorder="1" applyAlignment="1">
      <alignment/>
    </xf>
    <xf numFmtId="49" fontId="0" fillId="33" borderId="10" xfId="0" applyNumberFormat="1" applyFont="1" applyFill="1" applyBorder="1" applyAlignment="1">
      <alignment horizontal="center"/>
    </xf>
    <xf numFmtId="49" fontId="0" fillId="32" borderId="0" xfId="0" applyNumberFormat="1" applyFont="1" applyFill="1" applyBorder="1" applyAlignment="1">
      <alignment horizontal="center"/>
    </xf>
    <xf numFmtId="179" fontId="0" fillId="36" borderId="22" xfId="0" applyNumberFormat="1" applyFill="1" applyBorder="1" applyAlignment="1">
      <alignment horizontal="center"/>
    </xf>
    <xf numFmtId="179" fontId="0" fillId="34" borderId="0" xfId="0" applyNumberFormat="1" applyFill="1" applyBorder="1" applyAlignment="1">
      <alignment horizontal="center"/>
    </xf>
    <xf numFmtId="179" fontId="0" fillId="41" borderId="0" xfId="0" applyNumberFormat="1" applyFill="1" applyBorder="1" applyAlignment="1">
      <alignment horizontal="center"/>
    </xf>
    <xf numFmtId="179" fontId="0" fillId="33" borderId="0" xfId="0" applyNumberFormat="1" applyFill="1" applyBorder="1" applyAlignment="1">
      <alignment horizontal="center"/>
    </xf>
    <xf numFmtId="179" fontId="0" fillId="35" borderId="0" xfId="0" applyNumberFormat="1" applyFill="1" applyBorder="1" applyAlignment="1">
      <alignment horizontal="center"/>
    </xf>
    <xf numFmtId="179" fontId="0" fillId="32" borderId="0" xfId="0" applyNumberFormat="1" applyFill="1" applyBorder="1" applyAlignment="1">
      <alignment horizontal="center"/>
    </xf>
    <xf numFmtId="179" fontId="0" fillId="32" borderId="0" xfId="0" applyNumberFormat="1" applyFont="1" applyFill="1" applyBorder="1" applyAlignment="1">
      <alignment horizontal="center"/>
    </xf>
    <xf numFmtId="179" fontId="0" fillId="33" borderId="10" xfId="0" applyNumberFormat="1" applyFont="1" applyFill="1" applyBorder="1" applyAlignment="1">
      <alignment horizontal="center"/>
    </xf>
    <xf numFmtId="0" fontId="5" fillId="40" borderId="24" xfId="0" applyNumberFormat="1" applyFont="1" applyFill="1" applyBorder="1" applyAlignment="1">
      <alignment horizontal="center"/>
    </xf>
    <xf numFmtId="0" fontId="5" fillId="40" borderId="15" xfId="0" applyNumberFormat="1" applyFont="1" applyFill="1" applyBorder="1" applyAlignment="1">
      <alignment horizontal="center"/>
    </xf>
    <xf numFmtId="0" fontId="5" fillId="40" borderId="16" xfId="0" applyNumberFormat="1" applyFont="1" applyFill="1" applyBorder="1" applyAlignment="1">
      <alignment horizontal="center"/>
    </xf>
    <xf numFmtId="0" fontId="0" fillId="36" borderId="15" xfId="0" applyFont="1" applyFill="1" applyBorder="1" applyAlignment="1">
      <alignment horizontal="center"/>
    </xf>
    <xf numFmtId="0" fontId="0" fillId="35" borderId="15" xfId="0" applyFont="1" applyFill="1" applyBorder="1" applyAlignment="1">
      <alignment horizontal="center"/>
    </xf>
    <xf numFmtId="0" fontId="0" fillId="11" borderId="15" xfId="0" applyFont="1" applyFill="1" applyBorder="1" applyAlignment="1">
      <alignment horizontal="center"/>
    </xf>
    <xf numFmtId="0" fontId="0" fillId="39" borderId="11" xfId="0" applyFont="1" applyFill="1" applyBorder="1" applyAlignment="1">
      <alignment/>
    </xf>
    <xf numFmtId="0" fontId="0" fillId="39" borderId="15" xfId="0" applyFill="1" applyBorder="1" applyAlignment="1">
      <alignment horizontal="center"/>
    </xf>
    <xf numFmtId="0" fontId="0" fillId="39" borderId="15" xfId="0" applyFont="1" applyFill="1" applyBorder="1" applyAlignment="1">
      <alignment horizontal="center"/>
    </xf>
    <xf numFmtId="0" fontId="0" fillId="33" borderId="11" xfId="0" applyFont="1" applyFill="1" applyBorder="1" applyAlignment="1">
      <alignment/>
    </xf>
    <xf numFmtId="0" fontId="0" fillId="33" borderId="15" xfId="0" applyFill="1" applyBorder="1" applyAlignment="1">
      <alignment horizontal="center"/>
    </xf>
    <xf numFmtId="0" fontId="0" fillId="33" borderId="15" xfId="0" applyFont="1" applyFill="1" applyBorder="1" applyAlignment="1">
      <alignment horizontal="center"/>
    </xf>
    <xf numFmtId="0" fontId="0" fillId="34" borderId="22" xfId="0" applyFont="1" applyFill="1" applyBorder="1" applyAlignment="1">
      <alignment/>
    </xf>
    <xf numFmtId="0" fontId="0" fillId="34" borderId="23" xfId="0" applyFont="1" applyFill="1" applyBorder="1" applyAlignment="1">
      <alignment/>
    </xf>
    <xf numFmtId="0" fontId="0" fillId="34" borderId="24" xfId="0" applyFill="1" applyBorder="1" applyAlignment="1">
      <alignment horizontal="center"/>
    </xf>
    <xf numFmtId="0" fontId="0" fillId="34" borderId="24" xfId="0" applyFont="1" applyFill="1" applyBorder="1" applyAlignment="1">
      <alignment horizontal="center"/>
    </xf>
    <xf numFmtId="0" fontId="0" fillId="34" borderId="22" xfId="0" applyFont="1" applyFill="1" applyBorder="1" applyAlignment="1">
      <alignment horizontal="center"/>
    </xf>
    <xf numFmtId="0" fontId="0" fillId="34" borderId="22" xfId="0" applyFill="1" applyBorder="1" applyAlignment="1">
      <alignment horizontal="center"/>
    </xf>
    <xf numFmtId="0" fontId="0" fillId="34" borderId="23" xfId="0" applyFill="1" applyBorder="1" applyAlignment="1">
      <alignment horizontal="center"/>
    </xf>
    <xf numFmtId="179" fontId="5" fillId="34" borderId="0" xfId="0" applyNumberFormat="1" applyFont="1" applyFill="1" applyBorder="1" applyAlignment="1">
      <alignment horizontal="center"/>
    </xf>
    <xf numFmtId="179" fontId="5" fillId="33" borderId="0" xfId="0" applyNumberFormat="1" applyFont="1" applyFill="1" applyBorder="1" applyAlignment="1">
      <alignment horizontal="center"/>
    </xf>
    <xf numFmtId="179" fontId="0" fillId="33" borderId="0" xfId="0" applyNumberFormat="1" applyFont="1" applyFill="1" applyBorder="1" applyAlignment="1">
      <alignment horizontal="center"/>
    </xf>
    <xf numFmtId="0" fontId="5" fillId="42" borderId="19" xfId="0" applyFont="1" applyFill="1" applyBorder="1" applyAlignment="1">
      <alignment horizontal="left" vertical="center"/>
    </xf>
    <xf numFmtId="0" fontId="0" fillId="38" borderId="24" xfId="0" applyFill="1" applyBorder="1" applyAlignment="1">
      <alignment horizontal="center"/>
    </xf>
    <xf numFmtId="0" fontId="0" fillId="38" borderId="22" xfId="0" applyFill="1" applyBorder="1" applyAlignment="1">
      <alignment/>
    </xf>
    <xf numFmtId="0" fontId="0" fillId="38" borderId="22" xfId="0" applyFill="1" applyBorder="1" applyAlignment="1">
      <alignment horizontal="center"/>
    </xf>
    <xf numFmtId="49" fontId="0" fillId="38" borderId="22" xfId="0" applyNumberFormat="1" applyFill="1" applyBorder="1" applyAlignment="1">
      <alignment horizontal="center"/>
    </xf>
    <xf numFmtId="0" fontId="0" fillId="38" borderId="23" xfId="0" applyFill="1" applyBorder="1" applyAlignment="1">
      <alignment horizontal="center"/>
    </xf>
    <xf numFmtId="0" fontId="0" fillId="34" borderId="0" xfId="0" applyFill="1" applyBorder="1" applyAlignment="1">
      <alignment/>
    </xf>
    <xf numFmtId="0" fontId="0" fillId="41" borderId="15" xfId="0" applyFill="1" applyBorder="1" applyAlignment="1">
      <alignment horizontal="center"/>
    </xf>
    <xf numFmtId="0" fontId="0" fillId="41" borderId="0" xfId="0" applyFill="1" applyBorder="1" applyAlignment="1">
      <alignment/>
    </xf>
    <xf numFmtId="49" fontId="0" fillId="41" borderId="0" xfId="0" applyNumberFormat="1" applyFill="1" applyBorder="1" applyAlignment="1">
      <alignment horizontal="center"/>
    </xf>
    <xf numFmtId="0" fontId="0" fillId="35" borderId="10" xfId="0" applyFill="1" applyBorder="1" applyAlignment="1">
      <alignment/>
    </xf>
    <xf numFmtId="49" fontId="5" fillId="39" borderId="0" xfId="0" applyNumberFormat="1" applyFont="1" applyFill="1" applyBorder="1" applyAlignment="1">
      <alignment horizontal="center"/>
    </xf>
    <xf numFmtId="0" fontId="5" fillId="39" borderId="0" xfId="0" applyFont="1" applyFill="1" applyBorder="1" applyAlignment="1">
      <alignment/>
    </xf>
    <xf numFmtId="0" fontId="5" fillId="34" borderId="0" xfId="0" applyFont="1" applyFill="1" applyBorder="1" applyAlignment="1">
      <alignment/>
    </xf>
    <xf numFmtId="0" fontId="0" fillId="38" borderId="0" xfId="0" applyFont="1" applyFill="1" applyBorder="1" applyAlignment="1">
      <alignment/>
    </xf>
    <xf numFmtId="0" fontId="0" fillId="38" borderId="11" xfId="0" applyFont="1" applyFill="1" applyBorder="1" applyAlignment="1">
      <alignment/>
    </xf>
    <xf numFmtId="0" fontId="0" fillId="38" borderId="15" xfId="0" applyFont="1" applyFill="1" applyBorder="1" applyAlignment="1">
      <alignment horizontal="center"/>
    </xf>
    <xf numFmtId="0" fontId="0" fillId="38" borderId="11" xfId="0" applyFill="1" applyBorder="1" applyAlignment="1">
      <alignment horizontal="center"/>
    </xf>
    <xf numFmtId="0" fontId="8" fillId="0" borderId="0" xfId="0" applyFont="1" applyFill="1" applyBorder="1" applyAlignment="1">
      <alignment horizontal="center" vertical="center"/>
    </xf>
    <xf numFmtId="0" fontId="0" fillId="36" borderId="24" xfId="0" applyFill="1" applyBorder="1" applyAlignment="1">
      <alignment horizontal="center"/>
    </xf>
    <xf numFmtId="0" fontId="0" fillId="33" borderId="16" xfId="0" applyFill="1" applyBorder="1" applyAlignment="1">
      <alignment horizontal="center"/>
    </xf>
    <xf numFmtId="0" fontId="0" fillId="0" borderId="10" xfId="0" applyFill="1" applyBorder="1" applyAlignment="1">
      <alignment horizontal="center"/>
    </xf>
    <xf numFmtId="0" fontId="0" fillId="0" borderId="17" xfId="0" applyFill="1" applyBorder="1" applyAlignment="1">
      <alignment horizontal="center"/>
    </xf>
    <xf numFmtId="0" fontId="8" fillId="0" borderId="16" xfId="0" applyFont="1" applyFill="1" applyBorder="1" applyAlignment="1">
      <alignment horizontal="center" vertical="center"/>
    </xf>
    <xf numFmtId="1" fontId="8" fillId="0" borderId="10" xfId="0" applyNumberFormat="1" applyFont="1" applyBorder="1" applyAlignment="1">
      <alignment horizontal="center"/>
    </xf>
    <xf numFmtId="0" fontId="0" fillId="36" borderId="22" xfId="0" applyFill="1" applyBorder="1" applyAlignment="1">
      <alignment/>
    </xf>
    <xf numFmtId="0" fontId="0" fillId="41" borderId="0" xfId="0" applyFont="1" applyFill="1" applyBorder="1" applyAlignment="1">
      <alignment horizontal="center"/>
    </xf>
    <xf numFmtId="0" fontId="0" fillId="41" borderId="11" xfId="0" applyFont="1" applyFill="1" applyBorder="1" applyAlignment="1">
      <alignment/>
    </xf>
    <xf numFmtId="0" fontId="0" fillId="41" borderId="15" xfId="0" applyFont="1" applyFill="1" applyBorder="1" applyAlignment="1">
      <alignment horizontal="center"/>
    </xf>
    <xf numFmtId="0" fontId="0" fillId="41" borderId="10" xfId="0" applyFont="1" applyFill="1" applyBorder="1" applyAlignment="1">
      <alignment/>
    </xf>
    <xf numFmtId="0" fontId="0" fillId="41" borderId="17" xfId="0" applyFont="1" applyFill="1" applyBorder="1" applyAlignment="1">
      <alignment/>
    </xf>
    <xf numFmtId="0" fontId="0" fillId="41" borderId="16" xfId="0" applyFill="1" applyBorder="1" applyAlignment="1">
      <alignment horizontal="center"/>
    </xf>
    <xf numFmtId="0" fontId="0" fillId="41" borderId="16" xfId="0" applyFont="1" applyFill="1" applyBorder="1" applyAlignment="1">
      <alignment horizontal="center"/>
    </xf>
    <xf numFmtId="0" fontId="0" fillId="41" borderId="10" xfId="0" applyFont="1" applyFill="1" applyBorder="1" applyAlignment="1">
      <alignment horizontal="center"/>
    </xf>
    <xf numFmtId="0" fontId="0" fillId="41" borderId="10" xfId="0" applyFill="1" applyBorder="1" applyAlignment="1">
      <alignment horizontal="center"/>
    </xf>
    <xf numFmtId="0" fontId="0" fillId="41" borderId="17" xfId="0" applyFill="1" applyBorder="1" applyAlignment="1">
      <alignment horizontal="center"/>
    </xf>
    <xf numFmtId="49" fontId="0" fillId="36" borderId="22" xfId="0" applyNumberFormat="1" applyFill="1" applyBorder="1" applyAlignment="1">
      <alignment horizontal="center"/>
    </xf>
    <xf numFmtId="0" fontId="5" fillId="42" borderId="24" xfId="0" applyFont="1" applyFill="1" applyBorder="1" applyAlignment="1">
      <alignment horizontal="center" vertical="center" wrapText="1"/>
    </xf>
    <xf numFmtId="0" fontId="5" fillId="42" borderId="22" xfId="0" applyFont="1" applyFill="1" applyBorder="1" applyAlignment="1">
      <alignment horizontal="left" vertical="center"/>
    </xf>
    <xf numFmtId="0" fontId="5" fillId="42" borderId="22" xfId="0" applyFont="1" applyFill="1" applyBorder="1" applyAlignment="1">
      <alignment horizontal="center" vertical="center"/>
    </xf>
    <xf numFmtId="179" fontId="5" fillId="42" borderId="22" xfId="0" applyNumberFormat="1" applyFont="1" applyFill="1" applyBorder="1" applyAlignment="1">
      <alignment horizontal="center" vertical="center" wrapText="1"/>
    </xf>
    <xf numFmtId="0" fontId="5" fillId="42" borderId="22" xfId="0" applyFont="1" applyFill="1" applyBorder="1" applyAlignment="1">
      <alignment horizontal="center" vertical="center" wrapText="1"/>
    </xf>
    <xf numFmtId="0" fontId="5" fillId="36" borderId="22" xfId="0" applyFont="1" applyFill="1" applyBorder="1" applyAlignment="1">
      <alignment horizontal="center" vertical="center"/>
    </xf>
    <xf numFmtId="0" fontId="5" fillId="11" borderId="22" xfId="0" applyFont="1" applyFill="1" applyBorder="1" applyAlignment="1">
      <alignment horizontal="center" vertical="center"/>
    </xf>
    <xf numFmtId="0" fontId="5" fillId="38" borderId="22" xfId="0" applyFont="1" applyFill="1" applyBorder="1" applyAlignment="1">
      <alignment horizontal="center" vertical="center"/>
    </xf>
    <xf numFmtId="0" fontId="5" fillId="34" borderId="22" xfId="0" applyFont="1" applyFill="1" applyBorder="1" applyAlignment="1">
      <alignment horizontal="center" vertical="center"/>
    </xf>
    <xf numFmtId="0" fontId="5" fillId="33" borderId="22" xfId="0" applyFont="1" applyFill="1" applyBorder="1" applyAlignment="1">
      <alignment horizontal="center" vertical="center"/>
    </xf>
    <xf numFmtId="0" fontId="5" fillId="32" borderId="22" xfId="0" applyFont="1" applyFill="1" applyBorder="1" applyAlignment="1">
      <alignment horizontal="center" vertical="center"/>
    </xf>
    <xf numFmtId="0" fontId="5" fillId="41"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13" borderId="22" xfId="0" applyFont="1" applyFill="1" applyBorder="1" applyAlignment="1">
      <alignment horizontal="center" vertical="center"/>
    </xf>
    <xf numFmtId="0" fontId="5" fillId="35" borderId="22" xfId="0" applyFont="1" applyFill="1" applyBorder="1" applyAlignment="1">
      <alignment horizontal="center" vertical="center"/>
    </xf>
    <xf numFmtId="0" fontId="5" fillId="37" borderId="23" xfId="0" applyFont="1" applyFill="1" applyBorder="1" applyAlignment="1">
      <alignment horizontal="center" vertical="center"/>
    </xf>
    <xf numFmtId="0" fontId="0" fillId="0" borderId="15" xfId="0" applyFill="1" applyBorder="1" applyAlignment="1">
      <alignment horizontal="center"/>
    </xf>
    <xf numFmtId="0" fontId="5" fillId="44" borderId="19" xfId="0" applyFont="1" applyFill="1" applyBorder="1" applyAlignment="1">
      <alignment horizontal="center" vertical="center" wrapText="1"/>
    </xf>
    <xf numFmtId="0" fontId="0" fillId="44" borderId="0" xfId="0" applyFill="1" applyBorder="1" applyAlignment="1">
      <alignment horizontal="center"/>
    </xf>
    <xf numFmtId="0" fontId="0" fillId="45" borderId="25" xfId="0" applyFill="1" applyBorder="1" applyAlignment="1">
      <alignment/>
    </xf>
    <xf numFmtId="0" fontId="0" fillId="45" borderId="25" xfId="0" applyFill="1" applyBorder="1" applyAlignment="1">
      <alignment horizontal="left" vertical="top"/>
    </xf>
    <xf numFmtId="0" fontId="0" fillId="45" borderId="25" xfId="0" applyFill="1" applyBorder="1" applyAlignment="1">
      <alignment horizontal="center"/>
    </xf>
    <xf numFmtId="0" fontId="0" fillId="45" borderId="25" xfId="0" applyFill="1" applyBorder="1" applyAlignment="1">
      <alignment horizontal="left" vertical="top" wrapText="1"/>
    </xf>
    <xf numFmtId="0" fontId="0" fillId="0" borderId="16" xfId="0" applyFill="1" applyBorder="1" applyAlignment="1">
      <alignment horizontal="center"/>
    </xf>
    <xf numFmtId="0" fontId="0" fillId="0" borderId="10" xfId="0" applyFill="1" applyBorder="1" applyAlignment="1">
      <alignment/>
    </xf>
    <xf numFmtId="49" fontId="0" fillId="0" borderId="10" xfId="0" applyNumberFormat="1" applyFill="1" applyBorder="1" applyAlignment="1">
      <alignment horizontal="center"/>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0" fillId="33" borderId="0" xfId="0" applyFill="1" applyBorder="1" applyAlignment="1">
      <alignment/>
    </xf>
    <xf numFmtId="49" fontId="5" fillId="33" borderId="0" xfId="0" applyNumberFormat="1" applyFont="1" applyFill="1" applyBorder="1" applyAlignment="1">
      <alignment horizontal="center"/>
    </xf>
    <xf numFmtId="0" fontId="0" fillId="9" borderId="15" xfId="0" applyFill="1" applyBorder="1" applyAlignment="1">
      <alignment horizontal="center"/>
    </xf>
    <xf numFmtId="0" fontId="0" fillId="9" borderId="0" xfId="0" applyFill="1" applyBorder="1" applyAlignment="1">
      <alignment/>
    </xf>
    <xf numFmtId="0" fontId="0" fillId="9" borderId="0" xfId="0" applyFill="1" applyBorder="1" applyAlignment="1">
      <alignment horizontal="center"/>
    </xf>
    <xf numFmtId="49" fontId="5" fillId="9" borderId="0" xfId="0" applyNumberFormat="1" applyFont="1" applyFill="1" applyBorder="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180" fontId="0" fillId="0" borderId="15" xfId="0" applyNumberFormat="1" applyFont="1" applyFill="1" applyBorder="1" applyAlignment="1">
      <alignment horizontal="center"/>
    </xf>
    <xf numFmtId="2" fontId="5" fillId="33" borderId="22" xfId="0" applyNumberFormat="1" applyFont="1" applyFill="1" applyBorder="1" applyAlignment="1">
      <alignment horizontal="center" vertical="center" wrapText="1"/>
    </xf>
    <xf numFmtId="0" fontId="0" fillId="44" borderId="11" xfId="0" applyFill="1" applyBorder="1" applyAlignment="1">
      <alignment horizontal="center"/>
    </xf>
    <xf numFmtId="2" fontId="0" fillId="11" borderId="0" xfId="0" applyNumberFormat="1" applyFill="1" applyBorder="1" applyAlignment="1">
      <alignment horizontal="center"/>
    </xf>
    <xf numFmtId="180" fontId="0" fillId="33" borderId="15" xfId="0" applyNumberFormat="1" applyFont="1" applyFill="1" applyBorder="1" applyAlignment="1">
      <alignment horizontal="center"/>
    </xf>
    <xf numFmtId="2" fontId="0" fillId="33" borderId="0" xfId="0" applyNumberFormat="1" applyFill="1" applyBorder="1" applyAlignment="1">
      <alignment horizontal="center"/>
    </xf>
    <xf numFmtId="180" fontId="0" fillId="34" borderId="15" xfId="0" applyNumberFormat="1" applyFont="1" applyFill="1" applyBorder="1" applyAlignment="1">
      <alignment horizontal="center"/>
    </xf>
    <xf numFmtId="2" fontId="0" fillId="34" borderId="0" xfId="0" applyNumberFormat="1" applyFill="1" applyBorder="1" applyAlignment="1">
      <alignment horizontal="center"/>
    </xf>
    <xf numFmtId="2" fontId="0" fillId="9" borderId="0" xfId="0" applyNumberFormat="1" applyFill="1" applyBorder="1" applyAlignment="1">
      <alignment horizontal="center"/>
    </xf>
    <xf numFmtId="0" fontId="0" fillId="9" borderId="11" xfId="0" applyFill="1" applyBorder="1" applyAlignment="1">
      <alignment horizontal="center"/>
    </xf>
    <xf numFmtId="180" fontId="0" fillId="32" borderId="15" xfId="0" applyNumberFormat="1" applyFont="1" applyFill="1" applyBorder="1" applyAlignment="1">
      <alignment horizontal="center"/>
    </xf>
    <xf numFmtId="2" fontId="0" fillId="32" borderId="0" xfId="0" applyNumberFormat="1" applyFill="1" applyBorder="1" applyAlignment="1">
      <alignment horizontal="center"/>
    </xf>
    <xf numFmtId="180" fontId="0" fillId="41" borderId="15" xfId="0" applyNumberFormat="1" applyFont="1" applyFill="1" applyBorder="1" applyAlignment="1">
      <alignment horizontal="center"/>
    </xf>
    <xf numFmtId="2" fontId="0" fillId="41" borderId="0" xfId="0" applyNumberFormat="1" applyFill="1" applyBorder="1" applyAlignment="1">
      <alignment horizontal="center"/>
    </xf>
    <xf numFmtId="2" fontId="0" fillId="0" borderId="0" xfId="0" applyNumberFormat="1" applyFill="1" applyBorder="1" applyAlignment="1">
      <alignment horizontal="center"/>
    </xf>
    <xf numFmtId="180" fontId="0" fillId="35" borderId="15" xfId="0" applyNumberFormat="1" applyFont="1" applyFill="1" applyBorder="1" applyAlignment="1">
      <alignment horizontal="center"/>
    </xf>
    <xf numFmtId="2" fontId="0" fillId="35" borderId="0" xfId="0" applyNumberFormat="1"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180" fontId="0" fillId="34" borderId="0" xfId="0" applyNumberFormat="1" applyFont="1" applyFill="1" applyBorder="1" applyAlignment="1">
      <alignment horizontal="center"/>
    </xf>
    <xf numFmtId="180" fontId="0" fillId="33" borderId="0" xfId="0" applyNumberFormat="1" applyFont="1" applyFill="1" applyBorder="1" applyAlignment="1">
      <alignment horizontal="center"/>
    </xf>
    <xf numFmtId="180" fontId="0" fillId="9" borderId="0" xfId="0" applyNumberFormat="1" applyFont="1" applyFill="1" applyBorder="1" applyAlignment="1">
      <alignment horizontal="center"/>
    </xf>
    <xf numFmtId="180" fontId="0" fillId="32" borderId="0" xfId="0" applyNumberFormat="1" applyFont="1" applyFill="1" applyBorder="1" applyAlignment="1">
      <alignment horizontal="center"/>
    </xf>
    <xf numFmtId="180" fontId="0" fillId="35" borderId="0" xfId="0" applyNumberFormat="1" applyFont="1" applyFill="1" applyBorder="1" applyAlignment="1">
      <alignment horizontal="center"/>
    </xf>
    <xf numFmtId="180" fontId="0" fillId="41" borderId="0" xfId="0" applyNumberFormat="1" applyFont="1" applyFill="1" applyBorder="1" applyAlignment="1">
      <alignment horizontal="center"/>
    </xf>
    <xf numFmtId="1" fontId="8" fillId="0" borderId="0" xfId="0" applyNumberFormat="1" applyFont="1" applyBorder="1" applyAlignment="1">
      <alignment horizontal="center"/>
    </xf>
    <xf numFmtId="180" fontId="0" fillId="36" borderId="22" xfId="0" applyNumberFormat="1" applyFont="1" applyFill="1" applyBorder="1" applyAlignment="1">
      <alignment horizontal="center"/>
    </xf>
    <xf numFmtId="2" fontId="0" fillId="36" borderId="22" xfId="0" applyNumberFormat="1" applyFill="1" applyBorder="1" applyAlignment="1">
      <alignment horizontal="center"/>
    </xf>
    <xf numFmtId="0" fontId="0" fillId="44" borderId="22" xfId="0" applyFill="1" applyBorder="1" applyAlignment="1">
      <alignment horizontal="center"/>
    </xf>
    <xf numFmtId="0" fontId="0" fillId="44" borderId="10" xfId="0" applyFill="1" applyBorder="1" applyAlignment="1">
      <alignment horizontal="center"/>
    </xf>
    <xf numFmtId="0" fontId="0" fillId="34" borderId="17" xfId="0" applyFill="1" applyBorder="1" applyAlignment="1">
      <alignment horizontal="center"/>
    </xf>
    <xf numFmtId="0" fontId="5" fillId="0" borderId="0" xfId="0" applyFont="1" applyAlignment="1">
      <alignment horizontal="left" vertical="top"/>
    </xf>
    <xf numFmtId="0" fontId="5" fillId="34" borderId="22" xfId="0" applyFont="1" applyFill="1" applyBorder="1" applyAlignment="1">
      <alignment horizontal="left" vertical="top"/>
    </xf>
    <xf numFmtId="0" fontId="0" fillId="34" borderId="23" xfId="0" applyFill="1" applyBorder="1" applyAlignment="1">
      <alignment vertical="top"/>
    </xf>
    <xf numFmtId="0" fontId="5" fillId="34" borderId="22" xfId="0" applyFont="1" applyFill="1" applyBorder="1" applyAlignment="1">
      <alignment horizontal="center" vertical="top"/>
    </xf>
    <xf numFmtId="0" fontId="5" fillId="34" borderId="12" xfId="0" applyFont="1" applyFill="1" applyBorder="1" applyAlignment="1">
      <alignment horizontal="center" vertical="top"/>
    </xf>
    <xf numFmtId="0" fontId="5" fillId="34" borderId="12" xfId="0" applyFont="1" applyFill="1" applyBorder="1" applyAlignment="1">
      <alignment vertical="top"/>
    </xf>
    <xf numFmtId="0" fontId="0" fillId="45" borderId="12" xfId="0" applyFill="1" applyBorder="1" applyAlignment="1">
      <alignment horizontal="center" vertical="top"/>
    </xf>
    <xf numFmtId="0" fontId="0" fillId="45" borderId="22" xfId="0" applyFont="1" applyFill="1" applyBorder="1" applyAlignment="1">
      <alignment horizontal="left" vertical="top"/>
    </xf>
    <xf numFmtId="0" fontId="0" fillId="45" borderId="12" xfId="0" applyFont="1" applyFill="1" applyBorder="1" applyAlignment="1">
      <alignment horizontal="center" vertical="center"/>
    </xf>
    <xf numFmtId="0" fontId="0" fillId="45" borderId="22" xfId="0" applyFill="1" applyBorder="1" applyAlignment="1">
      <alignment horizontal="center" vertical="center"/>
    </xf>
    <xf numFmtId="0" fontId="0" fillId="45" borderId="14" xfId="0" applyFill="1" applyBorder="1" applyAlignment="1">
      <alignment horizontal="center" vertical="top"/>
    </xf>
    <xf numFmtId="0" fontId="0" fillId="45" borderId="10" xfId="0" applyFont="1" applyFill="1" applyBorder="1" applyAlignment="1">
      <alignment horizontal="left" vertical="top"/>
    </xf>
    <xf numFmtId="0" fontId="0" fillId="45" borderId="14" xfId="0" applyFont="1" applyFill="1" applyBorder="1" applyAlignment="1">
      <alignment horizontal="center" vertical="center"/>
    </xf>
    <xf numFmtId="0" fontId="0" fillId="45" borderId="10" xfId="0" applyFill="1" applyBorder="1" applyAlignment="1">
      <alignment horizontal="center" vertical="center"/>
    </xf>
    <xf numFmtId="0" fontId="0" fillId="45" borderId="22" xfId="0" applyFont="1" applyFill="1" applyBorder="1" applyAlignment="1">
      <alignment horizontal="left" vertical="top" wrapText="1"/>
    </xf>
    <xf numFmtId="0" fontId="0" fillId="45" borderId="10" xfId="0" applyFont="1" applyFill="1" applyBorder="1" applyAlignment="1">
      <alignment horizontal="left" vertical="top" wrapText="1"/>
    </xf>
    <xf numFmtId="0" fontId="0" fillId="45" borderId="18" xfId="0" applyFill="1" applyBorder="1" applyAlignment="1">
      <alignment horizontal="center" vertical="top"/>
    </xf>
    <xf numFmtId="0" fontId="0" fillId="45" borderId="19" xfId="0" applyFill="1" applyBorder="1" applyAlignment="1">
      <alignment horizontal="left" vertical="top"/>
    </xf>
    <xf numFmtId="0" fontId="0" fillId="45" borderId="18" xfId="0" applyFont="1" applyFill="1" applyBorder="1" applyAlignment="1">
      <alignment horizontal="center" vertical="center"/>
    </xf>
    <xf numFmtId="0" fontId="0" fillId="45" borderId="19" xfId="0" applyFill="1" applyBorder="1" applyAlignment="1">
      <alignment horizontal="center" vertical="center"/>
    </xf>
    <xf numFmtId="0" fontId="0" fillId="45" borderId="20" xfId="0" applyFill="1" applyBorder="1" applyAlignment="1">
      <alignment vertical="top"/>
    </xf>
    <xf numFmtId="0" fontId="0" fillId="45" borderId="10" xfId="0" applyFill="1" applyBorder="1" applyAlignment="1">
      <alignment horizontal="left" vertical="top"/>
    </xf>
    <xf numFmtId="0" fontId="0" fillId="45" borderId="17" xfId="0" applyFill="1" applyBorder="1" applyAlignment="1">
      <alignment vertical="top"/>
    </xf>
    <xf numFmtId="0" fontId="10" fillId="45" borderId="26" xfId="0" applyFont="1" applyFill="1" applyBorder="1" applyAlignment="1">
      <alignment vertical="center" wrapText="1"/>
    </xf>
    <xf numFmtId="0" fontId="10" fillId="45" borderId="27" xfId="0" applyFont="1" applyFill="1" applyBorder="1" applyAlignment="1">
      <alignment vertical="center" wrapText="1"/>
    </xf>
    <xf numFmtId="0" fontId="0" fillId="45" borderId="12" xfId="0" applyFont="1" applyFill="1" applyBorder="1" applyAlignment="1" quotePrefix="1">
      <alignment vertical="top"/>
    </xf>
    <xf numFmtId="0" fontId="0" fillId="45" borderId="13" xfId="0" applyFont="1" applyFill="1" applyBorder="1" applyAlignment="1" quotePrefix="1">
      <alignment vertical="top"/>
    </xf>
    <xf numFmtId="0" fontId="0" fillId="45" borderId="14" xfId="0" applyFont="1" applyFill="1" applyBorder="1" applyAlignment="1" quotePrefix="1">
      <alignment vertical="top"/>
    </xf>
    <xf numFmtId="0" fontId="5" fillId="34" borderId="28" xfId="0" applyFont="1" applyFill="1" applyBorder="1" applyAlignment="1">
      <alignment horizontal="center"/>
    </xf>
    <xf numFmtId="0" fontId="0" fillId="44" borderId="23" xfId="0" applyFill="1" applyBorder="1" applyAlignment="1">
      <alignment horizontal="center"/>
    </xf>
    <xf numFmtId="0" fontId="0" fillId="44" borderId="17" xfId="0" applyFill="1" applyBorder="1" applyAlignment="1">
      <alignment horizontal="center"/>
    </xf>
    <xf numFmtId="0" fontId="0" fillId="36" borderId="22" xfId="0" applyNumberFormat="1" applyFont="1" applyFill="1" applyBorder="1" applyAlignment="1">
      <alignment horizontal="center"/>
    </xf>
    <xf numFmtId="0" fontId="0" fillId="0" borderId="0" xfId="0" applyNumberFormat="1" applyFont="1" applyFill="1" applyBorder="1" applyAlignment="1">
      <alignment horizontal="center"/>
    </xf>
    <xf numFmtId="0" fontId="0" fillId="33" borderId="0" xfId="0" applyNumberFormat="1" applyFont="1" applyFill="1" applyBorder="1" applyAlignment="1">
      <alignment horizontal="center"/>
    </xf>
    <xf numFmtId="0" fontId="0" fillId="34" borderId="0" xfId="0" applyNumberFormat="1" applyFont="1" applyFill="1" applyBorder="1" applyAlignment="1">
      <alignment horizontal="center"/>
    </xf>
    <xf numFmtId="0" fontId="0" fillId="9" borderId="0" xfId="0" applyNumberFormat="1" applyFont="1" applyFill="1" applyBorder="1" applyAlignment="1">
      <alignment horizontal="center"/>
    </xf>
    <xf numFmtId="0" fontId="0" fillId="39" borderId="0" xfId="0" applyNumberFormat="1" applyFont="1" applyFill="1" applyBorder="1" applyAlignment="1">
      <alignment horizontal="center"/>
    </xf>
    <xf numFmtId="0" fontId="0" fillId="41" borderId="0" xfId="0" applyNumberFormat="1" applyFont="1" applyFill="1" applyBorder="1" applyAlignment="1">
      <alignment horizontal="center"/>
    </xf>
    <xf numFmtId="0" fontId="0" fillId="32" borderId="0" xfId="0" applyNumberFormat="1" applyFont="1" applyFill="1" applyBorder="1" applyAlignment="1">
      <alignment horizontal="center"/>
    </xf>
    <xf numFmtId="0" fontId="0" fillId="35" borderId="0" xfId="0" applyNumberFormat="1" applyFont="1" applyFill="1" applyBorder="1" applyAlignment="1">
      <alignment horizontal="center"/>
    </xf>
    <xf numFmtId="0" fontId="5" fillId="37" borderId="22" xfId="0" applyFont="1" applyFill="1" applyBorder="1" applyAlignment="1">
      <alignment horizontal="center"/>
    </xf>
    <xf numFmtId="0" fontId="5" fillId="35" borderId="0" xfId="0" applyFont="1" applyFill="1" applyBorder="1" applyAlignment="1">
      <alignment horizontal="center"/>
    </xf>
    <xf numFmtId="179" fontId="0" fillId="43" borderId="0" xfId="0" applyNumberFormat="1" applyFont="1" applyFill="1" applyBorder="1" applyAlignment="1">
      <alignment horizontal="center"/>
    </xf>
    <xf numFmtId="0" fontId="5" fillId="38" borderId="0" xfId="0" applyFont="1" applyFill="1" applyBorder="1" applyAlignment="1">
      <alignment horizontal="center"/>
    </xf>
    <xf numFmtId="0" fontId="5" fillId="11" borderId="0" xfId="0" applyFont="1" applyFill="1" applyBorder="1" applyAlignment="1">
      <alignment horizontal="center"/>
    </xf>
    <xf numFmtId="0" fontId="5" fillId="37" borderId="24" xfId="0" applyFont="1" applyFill="1" applyBorder="1" applyAlignment="1">
      <alignment horizontal="center" vertical="center" wrapText="1"/>
    </xf>
    <xf numFmtId="179" fontId="5" fillId="37" borderId="23" xfId="0" applyNumberFormat="1" applyFont="1" applyFill="1" applyBorder="1" applyAlignment="1">
      <alignment horizontal="center"/>
    </xf>
    <xf numFmtId="0" fontId="5" fillId="35" borderId="15" xfId="0" applyFont="1" applyFill="1" applyBorder="1" applyAlignment="1">
      <alignment horizontal="center" vertical="center" wrapText="1"/>
    </xf>
    <xf numFmtId="179" fontId="5" fillId="35" borderId="11" xfId="0" applyNumberFormat="1" applyFont="1" applyFill="1" applyBorder="1" applyAlignment="1">
      <alignment horizontal="center"/>
    </xf>
    <xf numFmtId="0" fontId="5" fillId="13" borderId="15" xfId="0" applyFont="1" applyFill="1" applyBorder="1" applyAlignment="1">
      <alignment horizontal="center" vertical="center" wrapText="1"/>
    </xf>
    <xf numFmtId="179" fontId="5" fillId="13" borderId="11" xfId="0" applyNumberFormat="1" applyFont="1" applyFill="1" applyBorder="1" applyAlignment="1">
      <alignment horizontal="center"/>
    </xf>
    <xf numFmtId="0" fontId="5" fillId="39" borderId="15" xfId="0" applyFont="1" applyFill="1" applyBorder="1" applyAlignment="1">
      <alignment horizontal="center" vertical="center" wrapText="1"/>
    </xf>
    <xf numFmtId="179" fontId="5" fillId="39" borderId="11" xfId="0" applyNumberFormat="1" applyFont="1" applyFill="1" applyBorder="1" applyAlignment="1">
      <alignment horizontal="center"/>
    </xf>
    <xf numFmtId="0" fontId="5" fillId="43" borderId="15" xfId="0" applyFont="1" applyFill="1" applyBorder="1" applyAlignment="1">
      <alignment horizontal="center" vertical="center" wrapText="1"/>
    </xf>
    <xf numFmtId="179" fontId="5" fillId="43" borderId="11" xfId="0" applyNumberFormat="1" applyFont="1" applyFill="1" applyBorder="1" applyAlignment="1">
      <alignment horizontal="center"/>
    </xf>
    <xf numFmtId="0" fontId="5" fillId="32" borderId="15" xfId="0" applyFont="1" applyFill="1" applyBorder="1" applyAlignment="1">
      <alignment horizontal="center" vertical="center" wrapText="1"/>
    </xf>
    <xf numFmtId="179" fontId="5" fillId="32" borderId="11" xfId="0" applyNumberFormat="1" applyFont="1" applyFill="1" applyBorder="1" applyAlignment="1">
      <alignment horizontal="center"/>
    </xf>
    <xf numFmtId="0" fontId="5" fillId="33" borderId="1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8" borderId="15" xfId="0" applyFont="1" applyFill="1" applyBorder="1" applyAlignment="1">
      <alignment horizontal="center" vertical="center" wrapText="1"/>
    </xf>
    <xf numFmtId="179" fontId="5" fillId="38" borderId="11" xfId="0" applyNumberFormat="1" applyFont="1" applyFill="1" applyBorder="1" applyAlignment="1">
      <alignment horizontal="center"/>
    </xf>
    <xf numFmtId="0" fontId="5" fillId="11" borderId="15" xfId="0" applyFont="1" applyFill="1" applyBorder="1" applyAlignment="1">
      <alignment horizontal="center" vertical="center" wrapText="1"/>
    </xf>
    <xf numFmtId="179" fontId="5" fillId="11" borderId="11" xfId="0" applyNumberFormat="1" applyFont="1" applyFill="1" applyBorder="1" applyAlignment="1">
      <alignment horizontal="center"/>
    </xf>
    <xf numFmtId="0" fontId="5" fillId="36" borderId="16" xfId="0" applyFont="1" applyFill="1" applyBorder="1" applyAlignment="1">
      <alignment horizontal="center" vertical="center" wrapText="1"/>
    </xf>
    <xf numFmtId="0" fontId="5" fillId="36" borderId="10" xfId="0" applyFont="1" applyFill="1" applyBorder="1" applyAlignment="1">
      <alignment horizontal="center"/>
    </xf>
    <xf numFmtId="179" fontId="5" fillId="36" borderId="17" xfId="0" applyNumberFormat="1" applyFont="1" applyFill="1" applyBorder="1" applyAlignment="1">
      <alignment horizontal="center"/>
    </xf>
    <xf numFmtId="185" fontId="5" fillId="37" borderId="23" xfId="0" applyNumberFormat="1" applyFont="1" applyFill="1" applyBorder="1" applyAlignment="1">
      <alignment horizontal="center"/>
    </xf>
    <xf numFmtId="185" fontId="5" fillId="35" borderId="11" xfId="0" applyNumberFormat="1" applyFont="1" applyFill="1" applyBorder="1" applyAlignment="1">
      <alignment horizontal="center"/>
    </xf>
    <xf numFmtId="185" fontId="5" fillId="13" borderId="11" xfId="0" applyNumberFormat="1" applyFont="1" applyFill="1" applyBorder="1" applyAlignment="1">
      <alignment horizontal="center"/>
    </xf>
    <xf numFmtId="185" fontId="5" fillId="39" borderId="11" xfId="0" applyNumberFormat="1" applyFont="1" applyFill="1" applyBorder="1" applyAlignment="1">
      <alignment horizontal="center"/>
    </xf>
    <xf numFmtId="185" fontId="5" fillId="43" borderId="11" xfId="0" applyNumberFormat="1" applyFont="1" applyFill="1" applyBorder="1" applyAlignment="1">
      <alignment horizontal="center"/>
    </xf>
    <xf numFmtId="185" fontId="5" fillId="32" borderId="11" xfId="0" applyNumberFormat="1" applyFont="1" applyFill="1" applyBorder="1" applyAlignment="1">
      <alignment horizontal="center"/>
    </xf>
    <xf numFmtId="185" fontId="0" fillId="33" borderId="11" xfId="0" applyNumberFormat="1" applyFill="1" applyBorder="1" applyAlignment="1">
      <alignment/>
    </xf>
    <xf numFmtId="185" fontId="0" fillId="34" borderId="11" xfId="0" applyNumberFormat="1" applyFill="1" applyBorder="1" applyAlignment="1">
      <alignment/>
    </xf>
    <xf numFmtId="185" fontId="5" fillId="38" borderId="11" xfId="0" applyNumberFormat="1" applyFont="1" applyFill="1" applyBorder="1" applyAlignment="1">
      <alignment horizontal="center"/>
    </xf>
    <xf numFmtId="185" fontId="5" fillId="11" borderId="11" xfId="0" applyNumberFormat="1" applyFont="1" applyFill="1" applyBorder="1" applyAlignment="1">
      <alignment horizontal="center"/>
    </xf>
    <xf numFmtId="185" fontId="5" fillId="36" borderId="17" xfId="0" applyNumberFormat="1" applyFont="1" applyFill="1" applyBorder="1" applyAlignment="1">
      <alignment horizontal="center"/>
    </xf>
    <xf numFmtId="180" fontId="0" fillId="11" borderId="0" xfId="0" applyNumberFormat="1" applyFont="1" applyFill="1" applyBorder="1" applyAlignment="1">
      <alignment horizontal="center"/>
    </xf>
    <xf numFmtId="0" fontId="5" fillId="33" borderId="0" xfId="0" applyFont="1" applyFill="1" applyBorder="1" applyAlignment="1">
      <alignment horizontal="center"/>
    </xf>
    <xf numFmtId="0" fontId="5" fillId="34" borderId="0" xfId="0" applyFont="1" applyFill="1" applyBorder="1" applyAlignment="1">
      <alignment horizontal="center"/>
    </xf>
    <xf numFmtId="0" fontId="5" fillId="37" borderId="15" xfId="0" applyFont="1" applyFill="1" applyBorder="1" applyAlignment="1">
      <alignment horizontal="center" vertical="center" wrapText="1"/>
    </xf>
    <xf numFmtId="179" fontId="5" fillId="37" borderId="11" xfId="0" applyNumberFormat="1" applyFont="1" applyFill="1" applyBorder="1" applyAlignment="1">
      <alignment horizontal="center"/>
    </xf>
    <xf numFmtId="179" fontId="5" fillId="33" borderId="11" xfId="0" applyNumberFormat="1" applyFont="1" applyFill="1" applyBorder="1" applyAlignment="1">
      <alignment horizontal="center"/>
    </xf>
    <xf numFmtId="179" fontId="5" fillId="34" borderId="11" xfId="0" applyNumberFormat="1" applyFont="1" applyFill="1" applyBorder="1" applyAlignment="1">
      <alignment horizontal="center"/>
    </xf>
    <xf numFmtId="0" fontId="0" fillId="38" borderId="22" xfId="0" applyNumberFormat="1" applyFont="1" applyFill="1" applyBorder="1" applyAlignment="1">
      <alignment horizontal="center"/>
    </xf>
    <xf numFmtId="180" fontId="0" fillId="38" borderId="22" xfId="0" applyNumberFormat="1" applyFont="1" applyFill="1" applyBorder="1" applyAlignment="1">
      <alignment horizontal="center"/>
    </xf>
    <xf numFmtId="2" fontId="0" fillId="38" borderId="22" xfId="0" applyNumberFormat="1" applyFill="1" applyBorder="1" applyAlignment="1">
      <alignment horizontal="center"/>
    </xf>
    <xf numFmtId="0" fontId="0" fillId="38" borderId="23" xfId="0" applyNumberFormat="1" applyFont="1" applyFill="1" applyBorder="1" applyAlignment="1">
      <alignment horizontal="center"/>
    </xf>
    <xf numFmtId="0" fontId="0" fillId="34" borderId="11" xfId="0" applyNumberFormat="1" applyFont="1" applyFill="1" applyBorder="1" applyAlignment="1">
      <alignment horizontal="center"/>
    </xf>
    <xf numFmtId="0" fontId="0" fillId="11" borderId="11" xfId="0" applyNumberFormat="1" applyFont="1" applyFill="1" applyBorder="1" applyAlignment="1">
      <alignment horizontal="center"/>
    </xf>
    <xf numFmtId="0" fontId="0" fillId="39" borderId="11" xfId="0" applyNumberFormat="1" applyFont="1" applyFill="1" applyBorder="1" applyAlignment="1">
      <alignment horizontal="center"/>
    </xf>
    <xf numFmtId="0" fontId="0" fillId="32" borderId="11" xfId="0" applyNumberFormat="1" applyFont="1" applyFill="1" applyBorder="1" applyAlignment="1">
      <alignment horizontal="center"/>
    </xf>
    <xf numFmtId="0" fontId="0" fillId="41" borderId="11" xfId="0" applyNumberFormat="1" applyFont="1" applyFill="1" applyBorder="1" applyAlignment="1">
      <alignment horizontal="center"/>
    </xf>
    <xf numFmtId="0" fontId="0" fillId="0" borderId="11" xfId="0" applyNumberFormat="1" applyFont="1" applyFill="1" applyBorder="1" applyAlignment="1">
      <alignment horizontal="center"/>
    </xf>
    <xf numFmtId="0" fontId="0" fillId="35" borderId="11" xfId="0" applyNumberFormat="1" applyFont="1" applyFill="1" applyBorder="1" applyAlignment="1">
      <alignment horizontal="center"/>
    </xf>
    <xf numFmtId="0" fontId="0" fillId="35" borderId="10" xfId="0" applyNumberFormat="1" applyFont="1" applyFill="1" applyBorder="1" applyAlignment="1">
      <alignment horizontal="center"/>
    </xf>
    <xf numFmtId="0" fontId="0" fillId="35" borderId="17" xfId="0" applyNumberFormat="1" applyFont="1" applyFill="1" applyBorder="1" applyAlignment="1">
      <alignment horizontal="center"/>
    </xf>
    <xf numFmtId="180" fontId="0" fillId="39" borderId="0" xfId="0" applyNumberFormat="1" applyFont="1" applyFill="1" applyBorder="1" applyAlignment="1">
      <alignment horizontal="center"/>
    </xf>
    <xf numFmtId="2" fontId="0" fillId="39" borderId="0" xfId="0" applyNumberFormat="1" applyFill="1" applyBorder="1" applyAlignment="1">
      <alignment horizontal="center"/>
    </xf>
    <xf numFmtId="180" fontId="0" fillId="35" borderId="10" xfId="0" applyNumberFormat="1" applyFont="1" applyFill="1" applyBorder="1" applyAlignment="1">
      <alignment horizontal="center"/>
    </xf>
    <xf numFmtId="2" fontId="0" fillId="35" borderId="10" xfId="0" applyNumberFormat="1" applyFill="1" applyBorder="1" applyAlignment="1">
      <alignment horizontal="center"/>
    </xf>
    <xf numFmtId="0" fontId="5" fillId="41" borderId="0" xfId="0" applyFont="1" applyFill="1" applyBorder="1" applyAlignment="1">
      <alignment horizontal="center"/>
    </xf>
    <xf numFmtId="179" fontId="5" fillId="41" borderId="11" xfId="0" applyNumberFormat="1" applyFont="1" applyFill="1" applyBorder="1" applyAlignment="1">
      <alignment horizontal="center"/>
    </xf>
    <xf numFmtId="179" fontId="0" fillId="37" borderId="22" xfId="0" applyNumberFormat="1" applyFont="1" applyFill="1" applyBorder="1" applyAlignment="1">
      <alignment horizontal="center"/>
    </xf>
    <xf numFmtId="179" fontId="0" fillId="35" borderId="0" xfId="0" applyNumberFormat="1" applyFont="1" applyFill="1" applyBorder="1" applyAlignment="1">
      <alignment horizontal="center"/>
    </xf>
    <xf numFmtId="179" fontId="0" fillId="13" borderId="0" xfId="0" applyNumberFormat="1" applyFont="1" applyFill="1" applyBorder="1" applyAlignment="1">
      <alignment horizontal="center"/>
    </xf>
    <xf numFmtId="179" fontId="0" fillId="39" borderId="0" xfId="0" applyNumberFormat="1" applyFont="1" applyFill="1" applyBorder="1" applyAlignment="1">
      <alignment horizontal="center"/>
    </xf>
    <xf numFmtId="179" fontId="0" fillId="41" borderId="0" xfId="0" applyNumberFormat="1" applyFont="1" applyFill="1" applyBorder="1" applyAlignment="1">
      <alignment horizontal="center"/>
    </xf>
    <xf numFmtId="179" fontId="0" fillId="34" borderId="0" xfId="0" applyNumberFormat="1" applyFont="1" applyFill="1" applyBorder="1" applyAlignment="1">
      <alignment horizontal="center"/>
    </xf>
    <xf numFmtId="179" fontId="0" fillId="38" borderId="0" xfId="0" applyNumberFormat="1" applyFont="1" applyFill="1" applyBorder="1" applyAlignment="1">
      <alignment horizontal="center"/>
    </xf>
    <xf numFmtId="179" fontId="0" fillId="11" borderId="0" xfId="0" applyNumberFormat="1" applyFont="1" applyFill="1" applyBorder="1" applyAlignment="1">
      <alignment horizontal="center"/>
    </xf>
    <xf numFmtId="179" fontId="0" fillId="36" borderId="10" xfId="0" applyNumberFormat="1" applyFont="1" applyFill="1" applyBorder="1" applyAlignment="1">
      <alignment horizontal="center"/>
    </xf>
    <xf numFmtId="0" fontId="0" fillId="6" borderId="0" xfId="0" applyFont="1" applyFill="1" applyBorder="1" applyAlignment="1">
      <alignment horizontal="center"/>
    </xf>
    <xf numFmtId="0" fontId="5" fillId="0" borderId="22" xfId="0" applyFont="1" applyFill="1" applyBorder="1" applyAlignment="1">
      <alignment horizontal="center" vertical="center" wrapText="1"/>
    </xf>
    <xf numFmtId="2" fontId="5" fillId="0" borderId="23" xfId="0" applyNumberFormat="1" applyFont="1" applyBorder="1" applyAlignment="1">
      <alignment horizontal="center" vertical="center" wrapText="1"/>
    </xf>
    <xf numFmtId="180" fontId="0" fillId="36" borderId="24" xfId="0" applyNumberFormat="1" applyFont="1" applyFill="1" applyBorder="1" applyAlignment="1">
      <alignment horizontal="center"/>
    </xf>
    <xf numFmtId="2" fontId="0" fillId="36" borderId="23" xfId="0" applyNumberFormat="1" applyFill="1" applyBorder="1" applyAlignment="1">
      <alignment horizontal="center"/>
    </xf>
    <xf numFmtId="2" fontId="0" fillId="33" borderId="11" xfId="0" applyNumberFormat="1" applyFill="1" applyBorder="1" applyAlignment="1">
      <alignment horizontal="center"/>
    </xf>
    <xf numFmtId="2" fontId="0" fillId="34" borderId="11" xfId="0" applyNumberFormat="1" applyFill="1" applyBorder="1" applyAlignment="1">
      <alignment horizontal="center"/>
    </xf>
    <xf numFmtId="2" fontId="0" fillId="41" borderId="11" xfId="0" applyNumberFormat="1" applyFill="1" applyBorder="1" applyAlignment="1">
      <alignment horizontal="center"/>
    </xf>
    <xf numFmtId="2" fontId="0" fillId="32" borderId="11" xfId="0" applyNumberFormat="1" applyFill="1" applyBorder="1" applyAlignment="1">
      <alignment horizontal="center"/>
    </xf>
    <xf numFmtId="2" fontId="0" fillId="35" borderId="11" xfId="0" applyNumberFormat="1" applyFill="1" applyBorder="1" applyAlignment="1">
      <alignment horizontal="center"/>
    </xf>
    <xf numFmtId="180" fontId="0" fillId="39" borderId="15" xfId="0" applyNumberFormat="1" applyFont="1" applyFill="1" applyBorder="1" applyAlignment="1">
      <alignment horizontal="center"/>
    </xf>
    <xf numFmtId="2" fontId="0" fillId="39" borderId="11" xfId="0" applyNumberFormat="1" applyFill="1" applyBorder="1" applyAlignment="1">
      <alignment horizontal="center"/>
    </xf>
    <xf numFmtId="2" fontId="0" fillId="0" borderId="10" xfId="0" applyNumberFormat="1" applyFill="1" applyBorder="1" applyAlignment="1">
      <alignment horizontal="center"/>
    </xf>
    <xf numFmtId="0" fontId="0" fillId="0" borderId="10" xfId="0" applyBorder="1" applyAlignment="1">
      <alignment/>
    </xf>
    <xf numFmtId="0" fontId="0" fillId="36" borderId="23" xfId="0" applyNumberFormat="1" applyFont="1" applyFill="1" applyBorder="1" applyAlignment="1">
      <alignment horizontal="center"/>
    </xf>
    <xf numFmtId="0" fontId="0" fillId="13" borderId="0" xfId="0" applyNumberFormat="1" applyFont="1" applyFill="1" applyBorder="1" applyAlignment="1">
      <alignment horizontal="center"/>
    </xf>
    <xf numFmtId="0" fontId="0" fillId="13" borderId="11" xfId="0" applyNumberFormat="1" applyFont="1" applyFill="1" applyBorder="1" applyAlignment="1">
      <alignment horizontal="center"/>
    </xf>
    <xf numFmtId="0" fontId="0" fillId="13" borderId="15" xfId="0" applyFill="1" applyBorder="1" applyAlignment="1">
      <alignment horizontal="center"/>
    </xf>
    <xf numFmtId="180" fontId="0" fillId="13" borderId="0" xfId="0" applyNumberFormat="1" applyFont="1" applyFill="1" applyBorder="1" applyAlignment="1">
      <alignment horizontal="center"/>
    </xf>
    <xf numFmtId="2" fontId="0" fillId="13" borderId="0" xfId="0" applyNumberFormat="1" applyFill="1" applyBorder="1" applyAlignment="1">
      <alignment horizontal="center"/>
    </xf>
    <xf numFmtId="0" fontId="0" fillId="13" borderId="11" xfId="0" applyFill="1" applyBorder="1" applyAlignment="1">
      <alignment horizontal="center"/>
    </xf>
    <xf numFmtId="0" fontId="0" fillId="0" borderId="10" xfId="0" applyNumberFormat="1" applyFont="1" applyFill="1" applyBorder="1" applyAlignment="1">
      <alignment horizontal="center"/>
    </xf>
    <xf numFmtId="0" fontId="0" fillId="0" borderId="17" xfId="0" applyNumberFormat="1" applyFont="1" applyFill="1" applyBorder="1" applyAlignment="1">
      <alignment horizontal="center"/>
    </xf>
    <xf numFmtId="0" fontId="0" fillId="13" borderId="15" xfId="0" applyFont="1" applyFill="1" applyBorder="1" applyAlignment="1">
      <alignment horizontal="center"/>
    </xf>
    <xf numFmtId="0" fontId="0" fillId="34" borderId="15" xfId="0" applyFont="1" applyFill="1" applyBorder="1" applyAlignment="1">
      <alignment horizontal="center"/>
    </xf>
    <xf numFmtId="0" fontId="0" fillId="43" borderId="15" xfId="0" applyFont="1" applyFill="1" applyBorder="1" applyAlignment="1">
      <alignment horizontal="center"/>
    </xf>
    <xf numFmtId="0" fontId="0" fillId="37" borderId="15" xfId="0" applyFont="1" applyFill="1"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49" fontId="0" fillId="13" borderId="0" xfId="0" applyNumberFormat="1" applyFill="1" applyBorder="1" applyAlignment="1">
      <alignment horizontal="center"/>
    </xf>
    <xf numFmtId="49" fontId="0" fillId="0" borderId="10" xfId="0" applyNumberFormat="1" applyBorder="1" applyAlignment="1">
      <alignment horizontal="center"/>
    </xf>
    <xf numFmtId="2" fontId="0" fillId="14" borderId="0" xfId="0" applyNumberFormat="1" applyFill="1" applyBorder="1" applyAlignment="1">
      <alignment horizontal="center"/>
    </xf>
    <xf numFmtId="0" fontId="0" fillId="13" borderId="0" xfId="0" applyFont="1" applyFill="1" applyBorder="1" applyAlignment="1">
      <alignment/>
    </xf>
    <xf numFmtId="0" fontId="0" fillId="13" borderId="11" xfId="0" applyFont="1" applyFill="1" applyBorder="1" applyAlignment="1">
      <alignment/>
    </xf>
    <xf numFmtId="49" fontId="5"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0" fontId="4" fillId="46" borderId="0" xfId="0" applyFont="1" applyFill="1" applyBorder="1" applyAlignment="1">
      <alignment horizontal="center"/>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0" fillId="0" borderId="0" xfId="0" applyFont="1" applyAlignment="1">
      <alignment horizontal="left" vertical="top" wrapText="1"/>
    </xf>
    <xf numFmtId="0" fontId="0" fillId="45" borderId="23" xfId="0" applyFont="1" applyFill="1" applyBorder="1" applyAlignment="1">
      <alignment horizontal="center" vertical="center"/>
    </xf>
    <xf numFmtId="0" fontId="0" fillId="45" borderId="17" xfId="0" applyFont="1" applyFill="1" applyBorder="1" applyAlignment="1">
      <alignment horizontal="center" vertical="center"/>
    </xf>
    <xf numFmtId="0" fontId="0" fillId="0" borderId="0" xfId="0" applyFont="1" applyFill="1" applyBorder="1" applyAlignment="1">
      <alignment/>
    </xf>
    <xf numFmtId="179" fontId="0" fillId="0" borderId="0" xfId="0" applyNumberFormat="1" applyFont="1" applyFill="1" applyBorder="1" applyAlignment="1">
      <alignment horizontal="center"/>
    </xf>
    <xf numFmtId="2" fontId="0" fillId="0" borderId="11" xfId="0" applyNumberFormat="1" applyFill="1" applyBorder="1" applyAlignment="1">
      <alignment horizontal="center"/>
    </xf>
    <xf numFmtId="2" fontId="0" fillId="0" borderId="19" xfId="0" applyNumberFormat="1" applyBorder="1" applyAlignment="1">
      <alignment horizontal="center"/>
    </xf>
    <xf numFmtId="0" fontId="0" fillId="0" borderId="19" xfId="0" applyBorder="1" applyAlignment="1">
      <alignment horizontal="center"/>
    </xf>
    <xf numFmtId="179" fontId="5" fillId="33" borderId="10" xfId="0" applyNumberFormat="1"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3">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30"/>
  <sheetViews>
    <sheetView tabSelected="1" zoomScalePageLayoutView="0" workbookViewId="0" topLeftCell="A1">
      <pane xSplit="3" ySplit="2" topLeftCell="D3" activePane="bottomRight" state="frozen"/>
      <selection pane="topLeft" activeCell="A1" sqref="A1"/>
      <selection pane="topRight" activeCell="D1" sqref="D1"/>
      <selection pane="bottomLeft" activeCell="A4" sqref="A4"/>
      <selection pane="bottomRight" activeCell="A1" sqref="A1:O1"/>
    </sheetView>
  </sheetViews>
  <sheetFormatPr defaultColWidth="9.140625" defaultRowHeight="12.75"/>
  <cols>
    <col min="1" max="1" width="7.140625" style="2" bestFit="1" customWidth="1"/>
    <col min="2" max="2" width="7.7109375" style="1" bestFit="1" customWidth="1"/>
    <col min="3" max="3" width="18.57421875" style="1" bestFit="1" customWidth="1"/>
    <col min="4" max="4" width="8.140625" style="8" customWidth="1"/>
    <col min="5" max="5" width="10.421875" style="25" customWidth="1"/>
    <col min="6" max="15" width="6.421875" style="8" customWidth="1"/>
    <col min="16" max="16" width="18.421875" style="1" hidden="1" customWidth="1"/>
    <col min="17" max="17" width="7.140625" style="1" customWidth="1"/>
    <col min="18" max="16384" width="9.140625" style="1" customWidth="1"/>
  </cols>
  <sheetData>
    <row r="1" spans="1:15" ht="15">
      <c r="A1" s="533" t="s">
        <v>39</v>
      </c>
      <c r="B1" s="533"/>
      <c r="C1" s="533"/>
      <c r="D1" s="533"/>
      <c r="E1" s="533"/>
      <c r="F1" s="533"/>
      <c r="G1" s="533"/>
      <c r="H1" s="533"/>
      <c r="I1" s="533"/>
      <c r="J1" s="533"/>
      <c r="K1" s="533"/>
      <c r="L1" s="533"/>
      <c r="M1" s="533"/>
      <c r="N1" s="533"/>
      <c r="O1" s="533"/>
    </row>
    <row r="2" spans="1:17" s="27" customFormat="1" ht="119.25" customHeight="1" thickBot="1">
      <c r="A2" s="2" t="s">
        <v>0</v>
      </c>
      <c r="B2" s="70" t="s">
        <v>1</v>
      </c>
      <c r="C2" s="70"/>
      <c r="D2" s="2" t="s">
        <v>2</v>
      </c>
      <c r="E2" s="71" t="s">
        <v>58</v>
      </c>
      <c r="F2" s="72" t="s">
        <v>59</v>
      </c>
      <c r="G2" s="72" t="s">
        <v>60</v>
      </c>
      <c r="H2" s="72" t="s">
        <v>61</v>
      </c>
      <c r="I2" s="72" t="s">
        <v>62</v>
      </c>
      <c r="J2" s="72" t="s">
        <v>63</v>
      </c>
      <c r="K2" s="72" t="s">
        <v>68</v>
      </c>
      <c r="L2" s="72" t="s">
        <v>64</v>
      </c>
      <c r="M2" s="72" t="s">
        <v>65</v>
      </c>
      <c r="N2" s="72" t="s">
        <v>66</v>
      </c>
      <c r="O2" s="72" t="s">
        <v>67</v>
      </c>
      <c r="P2" s="26"/>
      <c r="Q2" s="26"/>
    </row>
    <row r="3" spans="1:16" s="5" customFormat="1" ht="12.75">
      <c r="A3" s="175">
        <v>1</v>
      </c>
      <c r="B3" s="270" t="s">
        <v>31</v>
      </c>
      <c r="C3" s="271" t="s">
        <v>32</v>
      </c>
      <c r="D3" s="272" t="s">
        <v>57</v>
      </c>
      <c r="E3" s="258">
        <f>SUM(F3:O3)</f>
        <v>515</v>
      </c>
      <c r="F3" s="273">
        <f>_xlfn.IFERROR(VLOOKUP($P3,'Rd1 Broadford'!$C$2:$AC$17,27,0),0)</f>
        <v>100</v>
      </c>
      <c r="G3" s="274">
        <f>_xlfn.IFERROR(VLOOKUP($P3,'Rd2 Winton'!$C$2:$AD$21,28,0),0)</f>
        <v>100</v>
      </c>
      <c r="H3" s="274">
        <f>_xlfn.IFERROR(VLOOKUP($P3,'Rd3 Winton'!$C$2:$AC$13,27,0),0)</f>
        <v>110</v>
      </c>
      <c r="I3" s="274">
        <f>_xlfn.IFERROR(VLOOKUP($P3,'Rd4 Sandown'!$C$2:$AC$24,27,0),0)</f>
        <v>100</v>
      </c>
      <c r="J3" s="274">
        <f>_xlfn.IFERROR(VLOOKUP($P3,'Rd5 Sandown'!$C$2:$AC$20,27,0),0)</f>
        <v>105</v>
      </c>
      <c r="K3" s="274">
        <v>0</v>
      </c>
      <c r="L3" s="274">
        <v>0</v>
      </c>
      <c r="M3" s="275">
        <v>0</v>
      </c>
      <c r="N3" s="275">
        <v>0</v>
      </c>
      <c r="O3" s="276">
        <v>0</v>
      </c>
      <c r="P3" s="5" t="str">
        <f>CONCATENATE(LOWER(B3)," ",LOWER(C3))</f>
        <v>alan conrad</v>
      </c>
    </row>
    <row r="4" spans="1:16" s="5" customFormat="1" ht="12.75">
      <c r="A4" s="176">
        <v>2</v>
      </c>
      <c r="B4" s="245" t="s">
        <v>121</v>
      </c>
      <c r="C4" s="307" t="s">
        <v>122</v>
      </c>
      <c r="D4" s="287" t="s">
        <v>22</v>
      </c>
      <c r="E4" s="259">
        <f>SUM(F4:O4)</f>
        <v>395</v>
      </c>
      <c r="F4" s="308">
        <f>_xlfn.IFERROR(VLOOKUP($P4,'Rd1 Broadford'!$C$2:$AC$17,27,0),0)</f>
        <v>100</v>
      </c>
      <c r="G4" s="306">
        <f>_xlfn.IFERROR(VLOOKUP($P4,'Rd2 Winton'!$C$2:$AD$21,28,0),0)</f>
        <v>95</v>
      </c>
      <c r="H4" s="306">
        <f>_xlfn.IFERROR(VLOOKUP($P4,'Rd3 Winton'!$C$2:$AC$13,27,0),0)</f>
        <v>105</v>
      </c>
      <c r="I4" s="306">
        <f>_xlfn.IFERROR(VLOOKUP($P4,'Rd4 Sandown'!$C$2:$AC$24,27,0),0)</f>
        <v>45</v>
      </c>
      <c r="J4" s="306">
        <f>_xlfn.IFERROR(VLOOKUP($P4,'Rd5 Sandown'!$C$2:$AC$24,27,0),0)</f>
        <v>50</v>
      </c>
      <c r="K4" s="306">
        <v>0</v>
      </c>
      <c r="L4" s="306">
        <v>0</v>
      </c>
      <c r="M4" s="235">
        <v>0</v>
      </c>
      <c r="N4" s="235">
        <v>0</v>
      </c>
      <c r="O4" s="236">
        <v>0</v>
      </c>
      <c r="P4" s="5" t="str">
        <f>CONCATENATE(LOWER(B4)," ",LOWER(C4))</f>
        <v>robert downes</v>
      </c>
    </row>
    <row r="5" spans="1:16" s="5" customFormat="1" ht="12.75">
      <c r="A5" s="176">
        <v>3</v>
      </c>
      <c r="B5" s="114" t="s">
        <v>35</v>
      </c>
      <c r="C5" s="233" t="s">
        <v>36</v>
      </c>
      <c r="D5" s="234" t="s">
        <v>21</v>
      </c>
      <c r="E5" s="259">
        <f>SUM(F5:O5)</f>
        <v>390</v>
      </c>
      <c r="F5" s="234">
        <f>_xlfn.IFERROR(VLOOKUP($P5,'Rd1 Broadford'!$C$2:$AC$17,27,0),0)</f>
        <v>110</v>
      </c>
      <c r="G5" s="45">
        <f>_xlfn.IFERROR(VLOOKUP($P5,'Rd2 Winton'!$C$2:$AD$21,28,0),0)</f>
        <v>0</v>
      </c>
      <c r="H5" s="45">
        <f>_xlfn.IFERROR(VLOOKUP($P5,'Rd3 Winton'!$C$2:$AC$13,27,0),0)</f>
        <v>105</v>
      </c>
      <c r="I5" s="45">
        <f>_xlfn.IFERROR(VLOOKUP($P5,'Rd4 Sandown'!$C$2:$AC$24,27,0),0)</f>
        <v>100</v>
      </c>
      <c r="J5" s="45">
        <f>_xlfn.IFERROR(VLOOKUP($P5,'Rd5 Sandown'!$C$2:$AC$24,27,0),0)</f>
        <v>75</v>
      </c>
      <c r="K5" s="45">
        <v>0</v>
      </c>
      <c r="L5" s="45">
        <v>0</v>
      </c>
      <c r="M5" s="38">
        <v>0</v>
      </c>
      <c r="N5" s="38">
        <v>0</v>
      </c>
      <c r="O5" s="120">
        <v>0</v>
      </c>
      <c r="P5" s="5" t="str">
        <f>CONCATENATE(LOWER(B5)," ",LOWER(C5))</f>
        <v>noel heritage</v>
      </c>
    </row>
    <row r="6" spans="1:16" s="5" customFormat="1" ht="12.75">
      <c r="A6" s="176">
        <v>3</v>
      </c>
      <c r="B6" s="217" t="s">
        <v>119</v>
      </c>
      <c r="C6" s="229" t="s">
        <v>120</v>
      </c>
      <c r="D6" s="214" t="s">
        <v>14</v>
      </c>
      <c r="E6" s="259">
        <f>SUM(F6:O6)</f>
        <v>390</v>
      </c>
      <c r="F6" s="261">
        <f>_xlfn.IFERROR(VLOOKUP($P6,'Rd1 Broadford'!$C$2:$AC$17,27,0),0)</f>
        <v>105</v>
      </c>
      <c r="G6" s="64">
        <f>_xlfn.IFERROR(VLOOKUP($P6,'Rd2 Winton'!$C$2:$AD$21,28,0),0)</f>
        <v>90</v>
      </c>
      <c r="H6" s="64">
        <f>_xlfn.IFERROR(VLOOKUP($P6,'Rd3 Winton'!$C$2:$AC$13,27,0),0)</f>
        <v>0</v>
      </c>
      <c r="I6" s="64">
        <f>_xlfn.IFERROR(VLOOKUP($P6,'Rd4 Sandown'!$C$2:$AC$24,27,0),0)</f>
        <v>95</v>
      </c>
      <c r="J6" s="64">
        <f>_xlfn.IFERROR(VLOOKUP($P6,'Rd5 Sandown'!$C$2:$AC$20,27,0),0)</f>
        <v>100</v>
      </c>
      <c r="K6" s="64">
        <v>0</v>
      </c>
      <c r="L6" s="64">
        <v>0</v>
      </c>
      <c r="M6" s="57">
        <v>0</v>
      </c>
      <c r="N6" s="57">
        <v>0</v>
      </c>
      <c r="O6" s="216">
        <v>0</v>
      </c>
      <c r="P6" s="5" t="str">
        <f>CONCATENATE(LOWER(B6)," ",LOWER(C6))</f>
        <v>dave moore</v>
      </c>
    </row>
    <row r="7" spans="1:16" s="5" customFormat="1" ht="12.75">
      <c r="A7" s="176">
        <v>5</v>
      </c>
      <c r="B7" s="63" t="s">
        <v>37</v>
      </c>
      <c r="C7" s="232" t="s">
        <v>38</v>
      </c>
      <c r="D7" s="121" t="s">
        <v>5</v>
      </c>
      <c r="E7" s="259">
        <f>SUM(F7:O7)</f>
        <v>365</v>
      </c>
      <c r="F7" s="262">
        <f>_xlfn.IFERROR(VLOOKUP($P7,'Rd1 Broadford'!$C$2:$AC$17,27,0),0)</f>
        <v>60</v>
      </c>
      <c r="G7" s="58">
        <f>_xlfn.IFERROR(VLOOKUP($P7,'Rd2 Winton'!$C$2:$AD$21,28,0),0)</f>
        <v>20</v>
      </c>
      <c r="H7" s="58">
        <f>_xlfn.IFERROR(VLOOKUP($P7,'Rd3 Winton'!$C$2:$AC$13,27,0),0)</f>
        <v>80</v>
      </c>
      <c r="I7" s="58">
        <f>_xlfn.IFERROR(VLOOKUP($P7,'Rd4 Sandown'!$C$2:$AC$24,27,0),0)</f>
        <v>100</v>
      </c>
      <c r="J7" s="58">
        <f>_xlfn.IFERROR(VLOOKUP($P7,'Rd5 Sandown'!$C$2:$AC$20,27,0),0)</f>
        <v>105</v>
      </c>
      <c r="K7" s="58">
        <v>0</v>
      </c>
      <c r="L7" s="58">
        <v>0</v>
      </c>
      <c r="M7" s="55">
        <v>0</v>
      </c>
      <c r="N7" s="55">
        <v>0</v>
      </c>
      <c r="O7" s="123">
        <v>0</v>
      </c>
      <c r="P7" s="5" t="str">
        <f>CONCATENATE(LOWER(B7)," ",LOWER(C7))</f>
        <v>simeon ouzas</v>
      </c>
    </row>
    <row r="8" spans="1:16" s="5" customFormat="1" ht="12.75">
      <c r="A8" s="176">
        <v>6</v>
      </c>
      <c r="B8" s="63" t="s">
        <v>115</v>
      </c>
      <c r="C8" s="232" t="s">
        <v>92</v>
      </c>
      <c r="D8" s="121" t="s">
        <v>5</v>
      </c>
      <c r="E8" s="259">
        <f>SUM(F8:O8)</f>
        <v>325</v>
      </c>
      <c r="F8" s="262">
        <f>_xlfn.IFERROR(VLOOKUP($P8,'Rd1 Broadford'!$C$2:$AC$17,27,0),0)</f>
        <v>20</v>
      </c>
      <c r="G8" s="58">
        <f>_xlfn.IFERROR(VLOOKUP($P8,'Rd2 Winton'!$C$2:$AD$21,28,0),0)</f>
        <v>50</v>
      </c>
      <c r="H8" s="58">
        <f>_xlfn.IFERROR(VLOOKUP($P8,'Rd3 Winton'!$C$2:$AC$13,27,0),0)</f>
        <v>105</v>
      </c>
      <c r="I8" s="58">
        <f>_xlfn.IFERROR(VLOOKUP($P8,'Rd4 Sandown'!$C$2:$AC$24,27,0),0)</f>
        <v>70</v>
      </c>
      <c r="J8" s="58">
        <f>_xlfn.IFERROR(VLOOKUP($P8,'Rd5 Sandown'!$C$2:$AC$20,27,0),0)</f>
        <v>80</v>
      </c>
      <c r="K8" s="58">
        <v>0</v>
      </c>
      <c r="L8" s="58">
        <v>0</v>
      </c>
      <c r="M8" s="55">
        <v>0</v>
      </c>
      <c r="N8" s="55">
        <v>0</v>
      </c>
      <c r="O8" s="123">
        <v>0</v>
      </c>
      <c r="P8" s="5" t="str">
        <f>CONCATENATE(LOWER(B8)," ",LOWER(C8))</f>
        <v>gareth pedley</v>
      </c>
    </row>
    <row r="9" spans="1:16" s="5" customFormat="1" ht="12.75">
      <c r="A9" s="176">
        <v>7</v>
      </c>
      <c r="B9" s="63" t="s">
        <v>90</v>
      </c>
      <c r="C9" s="232" t="s">
        <v>91</v>
      </c>
      <c r="D9" s="121" t="s">
        <v>5</v>
      </c>
      <c r="E9" s="259">
        <f>SUM(F9:O9)</f>
        <v>320</v>
      </c>
      <c r="F9" s="262">
        <f>_xlfn.IFERROR(VLOOKUP($P9,'Rd1 Broadford'!$C$2:$AC$17,27,0),0)</f>
        <v>75</v>
      </c>
      <c r="G9" s="58">
        <f>_xlfn.IFERROR(VLOOKUP($P9,'Rd2 Winton'!$C$2:$AD$21,28,0),0)</f>
        <v>65</v>
      </c>
      <c r="H9" s="58">
        <f>_xlfn.IFERROR(VLOOKUP($P9,'Rd3 Winton'!$C$2:$AC$13,27,0),0)</f>
        <v>65</v>
      </c>
      <c r="I9" s="58">
        <f>_xlfn.IFERROR(VLOOKUP($P9,'Rd4 Sandown'!$C$2:$AC$24,27,0),0)</f>
        <v>55</v>
      </c>
      <c r="J9" s="58">
        <f>_xlfn.IFERROR(VLOOKUP($P9,'Rd5 Sandown'!$C$2:$AC$20,27,0),0)</f>
        <v>60</v>
      </c>
      <c r="K9" s="58">
        <v>0</v>
      </c>
      <c r="L9" s="58">
        <v>0</v>
      </c>
      <c r="M9" s="55">
        <v>0</v>
      </c>
      <c r="N9" s="55">
        <v>0</v>
      </c>
      <c r="O9" s="123">
        <v>0</v>
      </c>
      <c r="P9" s="5" t="str">
        <f>CONCATENATE(LOWER(B9)," ",LOWER(C9))</f>
        <v>steve williamsz</v>
      </c>
    </row>
    <row r="10" spans="1:16" s="5" customFormat="1" ht="12.75">
      <c r="A10" s="176">
        <v>8</v>
      </c>
      <c r="B10" s="63" t="s">
        <v>112</v>
      </c>
      <c r="C10" s="230" t="s">
        <v>230</v>
      </c>
      <c r="D10" s="121" t="s">
        <v>5</v>
      </c>
      <c r="E10" s="259">
        <f>SUM(F10:O10)</f>
        <v>225</v>
      </c>
      <c r="F10" s="262">
        <f>_xlfn.IFERROR(VLOOKUP($P10,'Rd1 Broadford'!$C$2:$AC$17,27,0),0)</f>
        <v>100</v>
      </c>
      <c r="G10" s="58">
        <f>_xlfn.IFERROR(VLOOKUP($P10,'Rd2 Winton'!$C$2:$AD$21,28,0),0)</f>
        <v>90</v>
      </c>
      <c r="H10" s="58">
        <f>_xlfn.IFERROR(VLOOKUP($P10,'Rd3 Winton'!$C$2:$AC$13,27,0),0)</f>
        <v>0</v>
      </c>
      <c r="I10" s="58">
        <f>_xlfn.IFERROR(VLOOKUP($P10,'Rd4 Sandown'!$C$2:$AC$24,27,0),0)</f>
        <v>35</v>
      </c>
      <c r="J10" s="58">
        <f>_xlfn.IFERROR(VLOOKUP($P10,'Rd5 Sandown'!$C$2:$AC$20,27,0),0)</f>
        <v>0</v>
      </c>
      <c r="K10" s="58">
        <v>0</v>
      </c>
      <c r="L10" s="58">
        <v>0</v>
      </c>
      <c r="M10" s="55">
        <v>0</v>
      </c>
      <c r="N10" s="55">
        <v>0</v>
      </c>
      <c r="O10" s="123">
        <v>0</v>
      </c>
      <c r="P10" s="5" t="str">
        <f>CONCATENATE(LOWER(B10)," ",LOWER(C10))</f>
        <v>ibrahim rafei</v>
      </c>
    </row>
    <row r="11" spans="1:16" s="5" customFormat="1" ht="12.75">
      <c r="A11" s="176">
        <v>9</v>
      </c>
      <c r="B11" s="246" t="s">
        <v>180</v>
      </c>
      <c r="C11" s="264" t="s">
        <v>181</v>
      </c>
      <c r="D11" s="265" t="s">
        <v>55</v>
      </c>
      <c r="E11" s="259">
        <f>SUM(F11:O11)</f>
        <v>220</v>
      </c>
      <c r="F11" s="266">
        <f>_xlfn.IFERROR(VLOOKUP($P11,'Rd1 Broadford'!$C$2:$AC$17,27,0),0)</f>
        <v>0</v>
      </c>
      <c r="G11" s="150">
        <f>_xlfn.IFERROR(VLOOKUP($P11,'Rd2 Winton'!$C$2:$AD$21,28,0),0)</f>
        <v>0</v>
      </c>
      <c r="H11" s="150">
        <f>_xlfn.IFERROR(VLOOKUP($P11,'Rd3 Winton'!$C$2:$AC$13,27,0),0)</f>
        <v>110</v>
      </c>
      <c r="I11" s="150">
        <f>_xlfn.IFERROR(VLOOKUP($P11,'Rd4 Sandown'!$C$2:$AC$24,27,0),0)</f>
        <v>110</v>
      </c>
      <c r="J11" s="150">
        <f>_xlfn.IFERROR(VLOOKUP($P11,'Rd5 Sandown'!$C$2:$AC$20,27,0),0)</f>
        <v>0</v>
      </c>
      <c r="K11" s="150">
        <v>0</v>
      </c>
      <c r="L11" s="150">
        <v>0</v>
      </c>
      <c r="M11" s="151">
        <v>0</v>
      </c>
      <c r="N11" s="151">
        <v>0</v>
      </c>
      <c r="O11" s="238">
        <v>0</v>
      </c>
      <c r="P11" s="5" t="str">
        <f>CONCATENATE(LOWER(B11)," ",LOWER(C11))</f>
        <v>randy stagno navarra</v>
      </c>
    </row>
    <row r="12" spans="1:16" s="5" customFormat="1" ht="12.75">
      <c r="A12" s="176">
        <v>10</v>
      </c>
      <c r="B12" s="132" t="s">
        <v>293</v>
      </c>
      <c r="C12" s="231" t="s">
        <v>294</v>
      </c>
      <c r="D12" s="127" t="s">
        <v>13</v>
      </c>
      <c r="E12" s="259">
        <f>SUM(F12:O12)</f>
        <v>195</v>
      </c>
      <c r="F12" s="263">
        <f>_xlfn.IFERROR(VLOOKUP($P12,'Rd1 Broadford'!$C$2:$AC$17,27,0),0)</f>
        <v>0</v>
      </c>
      <c r="G12" s="76">
        <f>_xlfn.IFERROR(VLOOKUP($P12,'Rd2 Winton'!$C$2:$AD$21,28,0),0)</f>
        <v>0</v>
      </c>
      <c r="H12" s="76">
        <f>_xlfn.IFERROR(VLOOKUP($P12,'Rd3 Winton'!$C$2:$AC$13,27,0),0)</f>
        <v>0</v>
      </c>
      <c r="I12" s="76">
        <f>_xlfn.IFERROR(VLOOKUP($P12,'Rd4 Sandown'!$C$2:$AC$24,27,0),0)</f>
        <v>95</v>
      </c>
      <c r="J12" s="76">
        <f>_xlfn.IFERROR(VLOOKUP($P12,'Rd5 Sandown'!$C$2:$AC$20,27,0),0)</f>
        <v>100</v>
      </c>
      <c r="K12" s="76">
        <v>0</v>
      </c>
      <c r="L12" s="76">
        <v>0</v>
      </c>
      <c r="M12" s="77">
        <v>0</v>
      </c>
      <c r="N12" s="77">
        <v>0</v>
      </c>
      <c r="O12" s="129">
        <v>0</v>
      </c>
      <c r="P12" s="5" t="str">
        <f>CONCATENATE(LOWER(B12)," ",LOWER(C12))</f>
        <v>paul ledwith</v>
      </c>
    </row>
    <row r="13" spans="1:16" s="5" customFormat="1" ht="12.75">
      <c r="A13" s="176">
        <v>11</v>
      </c>
      <c r="B13" s="132" t="s">
        <v>33</v>
      </c>
      <c r="C13" s="231" t="s">
        <v>34</v>
      </c>
      <c r="D13" s="127" t="s">
        <v>13</v>
      </c>
      <c r="E13" s="259">
        <f>SUM(F13:O13)</f>
        <v>145</v>
      </c>
      <c r="F13" s="263">
        <f>_xlfn.IFERROR(VLOOKUP($P13,'Rd1 Broadford'!$C$2:$AC$17,27,0),0)</f>
        <v>95</v>
      </c>
      <c r="G13" s="76">
        <f>_xlfn.IFERROR(VLOOKUP($P13,'Rd2 Winton'!$C$2:$AD$21,28,0),0)</f>
        <v>0</v>
      </c>
      <c r="H13" s="76">
        <f>_xlfn.IFERROR(VLOOKUP($P13,'Rd3 Winton'!$C$2:$AC$13,27,0),0)</f>
        <v>50</v>
      </c>
      <c r="I13" s="76">
        <f>_xlfn.IFERROR(VLOOKUP($P13,'Rd4 Sandown'!$C$2:$AC$24,27,0),0)</f>
        <v>0</v>
      </c>
      <c r="J13" s="76">
        <f>_xlfn.IFERROR(VLOOKUP($P13,'Rd5 Sandown'!$C$2:$AC$20,27,0),0)</f>
        <v>0</v>
      </c>
      <c r="K13" s="76">
        <v>0</v>
      </c>
      <c r="L13" s="76">
        <v>0</v>
      </c>
      <c r="M13" s="77">
        <v>0</v>
      </c>
      <c r="N13" s="77">
        <v>0</v>
      </c>
      <c r="O13" s="129">
        <v>0</v>
      </c>
      <c r="P13" s="5" t="str">
        <f>CONCATENATE(LOWER(B13)," ",LOWER(C13))</f>
        <v>tim meaden</v>
      </c>
    </row>
    <row r="14" spans="1:16" s="5" customFormat="1" ht="12.75">
      <c r="A14" s="176">
        <v>12</v>
      </c>
      <c r="B14" s="131" t="s">
        <v>148</v>
      </c>
      <c r="C14" s="267" t="s">
        <v>149</v>
      </c>
      <c r="D14" s="268" t="s">
        <v>56</v>
      </c>
      <c r="E14" s="259">
        <f>SUM(F14:O14)</f>
        <v>130</v>
      </c>
      <c r="F14" s="269">
        <f>_xlfn.IFERROR(VLOOKUP($P14,'Rd1 Broadford'!$C$2:$AC$17,27,0),0)</f>
        <v>0</v>
      </c>
      <c r="G14" s="51">
        <f>_xlfn.IFERROR(VLOOKUP($P14,'Rd2 Winton'!$C$2:$AD$21,28,0),0)</f>
        <v>30</v>
      </c>
      <c r="H14" s="51">
        <f>_xlfn.IFERROR(VLOOKUP($P14,'Rd3 Winton'!$C$2:$AC$13,27,0),0)</f>
        <v>0</v>
      </c>
      <c r="I14" s="51">
        <f>_xlfn.IFERROR(VLOOKUP($P14,'Rd4 Sandown'!$C$2:$AC$24,27,0),0)</f>
        <v>100</v>
      </c>
      <c r="J14" s="51">
        <f>_xlfn.IFERROR(VLOOKUP($P14,'Rd5 Sandown'!$C$2:$AC$20,27,0),0)</f>
        <v>0</v>
      </c>
      <c r="K14" s="51">
        <v>0</v>
      </c>
      <c r="L14" s="51">
        <v>0</v>
      </c>
      <c r="M14" s="36">
        <v>0</v>
      </c>
      <c r="N14" s="36">
        <v>0</v>
      </c>
      <c r="O14" s="237">
        <v>0</v>
      </c>
      <c r="P14" s="5" t="str">
        <f>CONCATENATE(LOWER(B14)," ",LOWER(C14))</f>
        <v>gavin newman</v>
      </c>
    </row>
    <row r="15" spans="1:16" s="5" customFormat="1" ht="12.75">
      <c r="A15" s="176">
        <v>13</v>
      </c>
      <c r="B15" s="114" t="s">
        <v>146</v>
      </c>
      <c r="C15" s="233" t="s">
        <v>147</v>
      </c>
      <c r="D15" s="234" t="s">
        <v>21</v>
      </c>
      <c r="E15" s="259">
        <f>SUM(F15:O15)</f>
        <v>105</v>
      </c>
      <c r="F15" s="234">
        <f>_xlfn.IFERROR(VLOOKUP($P15,'Rd1 Broadford'!$C$2:$AC$17,27,0),0)</f>
        <v>0</v>
      </c>
      <c r="G15" s="45">
        <f>_xlfn.IFERROR(VLOOKUP($P15,'Rd2 Winton'!$C$2:$AD$21,28,0),0)</f>
        <v>5</v>
      </c>
      <c r="H15" s="45">
        <f>_xlfn.IFERROR(VLOOKUP($P15,'Rd3 Winton'!$C$2:$AC$13,27,0),0)</f>
        <v>0</v>
      </c>
      <c r="I15" s="45">
        <f>_xlfn.IFERROR(VLOOKUP($P15,'Rd4 Sandown'!$C$2:$AC$24,27,0),0)</f>
        <v>55</v>
      </c>
      <c r="J15" s="45">
        <f>_xlfn.IFERROR(VLOOKUP($P15,'Rd5 Sandown'!$C$2:$AC$20,27,0),0)</f>
        <v>45</v>
      </c>
      <c r="K15" s="45">
        <v>0</v>
      </c>
      <c r="L15" s="45">
        <v>0</v>
      </c>
      <c r="M15" s="38">
        <v>0</v>
      </c>
      <c r="N15" s="38">
        <v>0</v>
      </c>
      <c r="O15" s="120">
        <v>0</v>
      </c>
      <c r="P15" s="5" t="str">
        <f>CONCATENATE(LOWER(B15)," ",LOWER(C15))</f>
        <v>peter dannock</v>
      </c>
    </row>
    <row r="16" spans="1:16" s="5" customFormat="1" ht="12.75">
      <c r="A16" s="176">
        <v>14</v>
      </c>
      <c r="B16" s="294" t="s">
        <v>178</v>
      </c>
      <c r="C16" s="295" t="s">
        <v>179</v>
      </c>
      <c r="D16" s="296" t="s">
        <v>16</v>
      </c>
      <c r="E16" s="259">
        <f>SUM(F16:O16)</f>
        <v>100</v>
      </c>
      <c r="F16" s="296">
        <f>_xlfn.IFERROR(VLOOKUP($P16,'Rd1 Broadford'!$C$2:$AC$17,27,0),0)</f>
        <v>0</v>
      </c>
      <c r="G16" s="142">
        <f>_xlfn.IFERROR(VLOOKUP($P16,'Rd2 Winton'!$C$2:$AD$21,28,0),0)</f>
        <v>0</v>
      </c>
      <c r="H16" s="142">
        <f>_xlfn.IFERROR(VLOOKUP($P16,'Rd3 Winton'!$C$2:$AC$13,27,0),0)</f>
        <v>100</v>
      </c>
      <c r="I16" s="142">
        <f>_xlfn.IFERROR(VLOOKUP($P16,'Rd4 Sandown'!$C$2:$AC$24,27,0),0)</f>
        <v>0</v>
      </c>
      <c r="J16" s="142">
        <f>_xlfn.IFERROR(VLOOKUP($P16,'Rd5 Sandown'!$C$2:$AC$20,27,0),0)</f>
        <v>0</v>
      </c>
      <c r="K16" s="142">
        <v>0</v>
      </c>
      <c r="L16" s="142">
        <v>0</v>
      </c>
      <c r="M16" s="143">
        <v>0</v>
      </c>
      <c r="N16" s="143">
        <v>0</v>
      </c>
      <c r="O16" s="297">
        <v>0</v>
      </c>
      <c r="P16" s="5" t="str">
        <f>CONCATENATE(LOWER(B16)," ",LOWER(C16))</f>
        <v>dean watchorn</v>
      </c>
    </row>
    <row r="17" spans="1:16" s="5" customFormat="1" ht="12.75">
      <c r="A17" s="176">
        <v>14</v>
      </c>
      <c r="B17" s="131" t="s">
        <v>144</v>
      </c>
      <c r="C17" s="267" t="s">
        <v>145</v>
      </c>
      <c r="D17" s="268" t="s">
        <v>56</v>
      </c>
      <c r="E17" s="259">
        <f>SUM(F17:O17)</f>
        <v>100</v>
      </c>
      <c r="F17" s="269">
        <f>_xlfn.IFERROR(VLOOKUP($P17,'Rd1 Broadford'!$C$2:$AC$17,27,0),0)</f>
        <v>0</v>
      </c>
      <c r="G17" s="51">
        <f>_xlfn.IFERROR(VLOOKUP($P17,'Rd2 Winton'!$C$2:$AD$21,28,0),0)</f>
        <v>40</v>
      </c>
      <c r="H17" s="51">
        <f>_xlfn.IFERROR(VLOOKUP($P17,'Rd3 Winton'!$C$2:$AC$13,27,0),0)</f>
        <v>0</v>
      </c>
      <c r="I17" s="51">
        <f>_xlfn.IFERROR(VLOOKUP($P17,'Rd4 Sandown'!$C$2:$AC$24,27,0),0)</f>
        <v>60</v>
      </c>
      <c r="J17" s="51">
        <f>_xlfn.IFERROR(VLOOKUP($P17,'Rd5 Sandown'!$C$2:$AC$20,27,0),0)</f>
        <v>0</v>
      </c>
      <c r="K17" s="51">
        <v>0</v>
      </c>
      <c r="L17" s="51">
        <v>0</v>
      </c>
      <c r="M17" s="36">
        <v>0</v>
      </c>
      <c r="N17" s="36">
        <v>0</v>
      </c>
      <c r="O17" s="237">
        <v>0</v>
      </c>
      <c r="P17" s="5" t="str">
        <f>CONCATENATE(LOWER(B17)," ",LOWER(C17))</f>
        <v>daniel white</v>
      </c>
    </row>
    <row r="18" spans="1:16" s="5" customFormat="1" ht="12.75">
      <c r="A18" s="176">
        <v>16</v>
      </c>
      <c r="B18" s="63" t="s">
        <v>114</v>
      </c>
      <c r="C18" s="232" t="s">
        <v>230</v>
      </c>
      <c r="D18" s="121" t="s">
        <v>5</v>
      </c>
      <c r="E18" s="259">
        <f>SUM(F18:O18)</f>
        <v>80</v>
      </c>
      <c r="F18" s="262">
        <f>_xlfn.IFERROR(VLOOKUP($P18,'Rd1 Broadford'!$C$2:$AC$17,27,0),0)</f>
        <v>40</v>
      </c>
      <c r="G18" s="58">
        <f>_xlfn.IFERROR(VLOOKUP($P18,'Rd2 Winton'!$C$2:$AD$21,28,0),0)</f>
        <v>35</v>
      </c>
      <c r="H18" s="58">
        <f>_xlfn.IFERROR(VLOOKUP($P18,'Rd3 Winton'!$C$2:$AC$13,27,0),0)</f>
        <v>0</v>
      </c>
      <c r="I18" s="58">
        <f>_xlfn.IFERROR(VLOOKUP($P18,'Rd4 Sandown'!$C$2:$AC$24,27,0),0)</f>
        <v>5</v>
      </c>
      <c r="J18" s="58">
        <f>_xlfn.IFERROR(VLOOKUP($P18,'Rd5 Sandown'!$C$2:$AC$20,27,0),0)</f>
        <v>0</v>
      </c>
      <c r="K18" s="58">
        <v>0</v>
      </c>
      <c r="L18" s="58">
        <v>0</v>
      </c>
      <c r="M18" s="55">
        <v>0</v>
      </c>
      <c r="N18" s="55">
        <v>0</v>
      </c>
      <c r="O18" s="123">
        <v>0</v>
      </c>
      <c r="P18" s="5" t="str">
        <f>CONCATENATE(LOWER(B18)," ",LOWER(C18))</f>
        <v>allison rafei</v>
      </c>
    </row>
    <row r="19" spans="1:16" s="5" customFormat="1" ht="12.75">
      <c r="A19" s="176">
        <v>17</v>
      </c>
      <c r="B19" s="63" t="s">
        <v>183</v>
      </c>
      <c r="C19" s="232" t="s">
        <v>122</v>
      </c>
      <c r="D19" s="121" t="s">
        <v>5</v>
      </c>
      <c r="E19" s="259">
        <f>SUM(F19:O19)</f>
        <v>55</v>
      </c>
      <c r="F19" s="262">
        <f>_xlfn.IFERROR(VLOOKUP($P19,'Rd1 Broadford'!$C$2:$AC$17,27,0),0)</f>
        <v>0</v>
      </c>
      <c r="G19" s="58">
        <f>_xlfn.IFERROR(VLOOKUP($P19,'Rd2 Winton'!$C$2:$AD$21,28,0),0)</f>
        <v>0</v>
      </c>
      <c r="H19" s="58">
        <f>_xlfn.IFERROR(VLOOKUP($P19,'Rd3 Winton'!$C$2:$AC$13,27,0),0)</f>
        <v>35</v>
      </c>
      <c r="I19" s="58">
        <f>_xlfn.IFERROR(VLOOKUP($P19,'Rd4 Sandown'!$C$2:$AC$24,27,0),0)</f>
        <v>20</v>
      </c>
      <c r="J19" s="58">
        <f>_xlfn.IFERROR(VLOOKUP($P19,'Rd5 Sandown'!$C$2:$AC$20,27,0),0)</f>
        <v>0</v>
      </c>
      <c r="K19" s="58">
        <v>0</v>
      </c>
      <c r="L19" s="58">
        <v>0</v>
      </c>
      <c r="M19" s="55">
        <v>0</v>
      </c>
      <c r="N19" s="55">
        <v>0</v>
      </c>
      <c r="O19" s="123">
        <v>0</v>
      </c>
      <c r="P19" s="5" t="str">
        <f>CONCATENATE(LOWER(B19)," ",LOWER(C19))</f>
        <v>john downes</v>
      </c>
    </row>
    <row r="20" spans="1:16" s="5" customFormat="1" ht="12.75">
      <c r="A20" s="176">
        <v>18</v>
      </c>
      <c r="B20" s="114" t="s">
        <v>123</v>
      </c>
      <c r="C20" s="233" t="s">
        <v>124</v>
      </c>
      <c r="D20" s="234" t="s">
        <v>21</v>
      </c>
      <c r="E20" s="259">
        <f>SUM(F20:O20)</f>
        <v>50</v>
      </c>
      <c r="F20" s="234">
        <f>_xlfn.IFERROR(VLOOKUP($P20,'Rd1 Broadford'!$C$2:$AC$17,27,0),0)</f>
        <v>25</v>
      </c>
      <c r="G20" s="45">
        <f>_xlfn.IFERROR(VLOOKUP($P20,'Rd2 Winton'!$C$2:$AD$21,28,0),0)</f>
        <v>0</v>
      </c>
      <c r="H20" s="45">
        <f>_xlfn.IFERROR(VLOOKUP($P20,'Rd3 Winton'!$C$2:$AC$13,27,0),0)</f>
        <v>20</v>
      </c>
      <c r="I20" s="45">
        <f>_xlfn.IFERROR(VLOOKUP($P20,'Rd4 Sandown'!$C$2:$AC$24,27,0),0)</f>
        <v>5</v>
      </c>
      <c r="J20" s="45">
        <f>_xlfn.IFERROR(VLOOKUP($P20,'Rd5 Sandown'!$C$2:$AC$20,27,0),0)</f>
        <v>0</v>
      </c>
      <c r="K20" s="45">
        <v>0</v>
      </c>
      <c r="L20" s="45">
        <v>0</v>
      </c>
      <c r="M20" s="38">
        <v>0</v>
      </c>
      <c r="N20" s="38">
        <v>0</v>
      </c>
      <c r="O20" s="120">
        <v>0</v>
      </c>
      <c r="P20" s="5" t="str">
        <f>CONCATENATE(LOWER(B20)," ",LOWER(C20))</f>
        <v>murray seymour</v>
      </c>
    </row>
    <row r="21" spans="1:16" s="5" customFormat="1" ht="12.75">
      <c r="A21" s="176">
        <v>18</v>
      </c>
      <c r="B21" s="246" t="s">
        <v>33</v>
      </c>
      <c r="C21" s="264" t="s">
        <v>150</v>
      </c>
      <c r="D21" s="265" t="s">
        <v>55</v>
      </c>
      <c r="E21" s="259">
        <f>SUM(F21:O21)</f>
        <v>50</v>
      </c>
      <c r="F21" s="266">
        <f>_xlfn.IFERROR(VLOOKUP($P21,'Rd1 Broadford'!$C$2:$AC$17,27,0),0)</f>
        <v>0</v>
      </c>
      <c r="G21" s="150">
        <f>_xlfn.IFERROR(VLOOKUP($P21,'Rd2 Winton'!$C$2:$AD$21,28,0),0)</f>
        <v>50</v>
      </c>
      <c r="H21" s="150">
        <f>_xlfn.IFERROR(VLOOKUP($P21,'Rd3 Winton'!$C$2:$AC$13,27,0),0)</f>
        <v>0</v>
      </c>
      <c r="I21" s="150">
        <f>_xlfn.IFERROR(VLOOKUP($P21,'Rd4 Sandown'!$C$2:$AC$24,27,0),0)</f>
        <v>0</v>
      </c>
      <c r="J21" s="150">
        <f>_xlfn.IFERROR(VLOOKUP($P21,'Rd5 Sandown'!$C$2:$AC$20,27,0),0)</f>
        <v>0</v>
      </c>
      <c r="K21" s="150">
        <v>0</v>
      </c>
      <c r="L21" s="150">
        <v>0</v>
      </c>
      <c r="M21" s="151">
        <v>0</v>
      </c>
      <c r="N21" s="151">
        <v>0</v>
      </c>
      <c r="O21" s="238">
        <v>0</v>
      </c>
      <c r="P21" s="5" t="str">
        <f>CONCATENATE(LOWER(B21)," ",LOWER(C21))</f>
        <v>tim edwards</v>
      </c>
    </row>
    <row r="22" spans="1:16" s="5" customFormat="1" ht="12.75">
      <c r="A22" s="176">
        <v>20</v>
      </c>
      <c r="B22" s="529" t="s">
        <v>289</v>
      </c>
      <c r="C22" s="530" t="s">
        <v>290</v>
      </c>
      <c r="D22" s="520" t="s">
        <v>4</v>
      </c>
      <c r="E22" s="259">
        <f>SUM(F22:O22)</f>
        <v>5</v>
      </c>
      <c r="F22" s="520">
        <f>_xlfn.IFERROR(VLOOKUP($P22,'Rd1 Broadford'!$C$2:$AC$17,27,0),0)</f>
        <v>0</v>
      </c>
      <c r="G22" s="158">
        <f>_xlfn.IFERROR(VLOOKUP($P22,'Rd2 Winton'!$C$2:$AD$21,28,0),0)</f>
        <v>0</v>
      </c>
      <c r="H22" s="158">
        <f>_xlfn.IFERROR(VLOOKUP($P22,'Rd3 Winton'!$C$2:$AC$13,27,0),0)</f>
        <v>0</v>
      </c>
      <c r="I22" s="158">
        <f>_xlfn.IFERROR(VLOOKUP($P22,'Rd4 Sandown'!$C$2:$AC$24,27,0),0)</f>
        <v>0</v>
      </c>
      <c r="J22" s="158">
        <f>_xlfn.IFERROR(VLOOKUP($P22,'Rd5 Sandown'!$C$2:$AC$20,27,0),0)</f>
        <v>5</v>
      </c>
      <c r="K22" s="158">
        <v>0</v>
      </c>
      <c r="L22" s="158">
        <v>0</v>
      </c>
      <c r="M22" s="159">
        <v>0</v>
      </c>
      <c r="N22" s="159">
        <v>0</v>
      </c>
      <c r="O22" s="517">
        <v>0</v>
      </c>
      <c r="P22" s="5" t="str">
        <f>CONCATENATE(LOWER(B22)," ",LOWER(C22))</f>
        <v>ian vague</v>
      </c>
    </row>
    <row r="23" spans="1:16" s="5" customFormat="1" ht="12.75">
      <c r="A23" s="176">
        <v>20</v>
      </c>
      <c r="B23" s="529" t="s">
        <v>292</v>
      </c>
      <c r="C23" s="530" t="s">
        <v>291</v>
      </c>
      <c r="D23" s="520" t="s">
        <v>4</v>
      </c>
      <c r="E23" s="259">
        <f>SUM(F23:O23)</f>
        <v>5</v>
      </c>
      <c r="F23" s="520">
        <f>_xlfn.IFERROR(VLOOKUP($P23,'Rd1 Broadford'!$C$2:$AC$17,27,0),0)</f>
        <v>0</v>
      </c>
      <c r="G23" s="158">
        <f>_xlfn.IFERROR(VLOOKUP($P23,'Rd2 Winton'!$C$2:$AD$21,28,0),0)</f>
        <v>0</v>
      </c>
      <c r="H23" s="158">
        <f>_xlfn.IFERROR(VLOOKUP($P23,'Rd3 Winton'!$C$2:$AC$13,27,0),0)</f>
        <v>0</v>
      </c>
      <c r="I23" s="158">
        <f>_xlfn.IFERROR(VLOOKUP($P23,'Rd4 Sandown'!$C$2:$AC$24,27,0),0)</f>
        <v>0</v>
      </c>
      <c r="J23" s="158">
        <f>_xlfn.IFERROR(VLOOKUP($P23,'Rd5 Sandown'!$C$2:$AC$20,27,0),0)</f>
        <v>5</v>
      </c>
      <c r="K23" s="158">
        <v>0</v>
      </c>
      <c r="L23" s="158">
        <v>0</v>
      </c>
      <c r="M23" s="159">
        <v>0</v>
      </c>
      <c r="N23" s="159">
        <v>0</v>
      </c>
      <c r="O23" s="517">
        <v>0</v>
      </c>
      <c r="P23" s="5" t="str">
        <f>CONCATENATE(LOWER(B23)," ",LOWER(C23))</f>
        <v>malcolm leigh</v>
      </c>
    </row>
    <row r="24" spans="1:16" s="5" customFormat="1" ht="12.75">
      <c r="A24" s="176">
        <v>20</v>
      </c>
      <c r="B24" s="63" t="s">
        <v>93</v>
      </c>
      <c r="C24" s="232" t="s">
        <v>94</v>
      </c>
      <c r="D24" s="121" t="s">
        <v>5</v>
      </c>
      <c r="E24" s="259">
        <f>SUM(F24:O24)</f>
        <v>5</v>
      </c>
      <c r="F24" s="262">
        <f>_xlfn.IFERROR(VLOOKUP($P24,'Rd1 Broadford'!$C$2:$AC$17,27,0),0)</f>
        <v>5</v>
      </c>
      <c r="G24" s="58">
        <f>_xlfn.IFERROR(VLOOKUP($P24,'Rd2 Winton'!$C$2:$AD$21,28,0),0)</f>
        <v>0</v>
      </c>
      <c r="H24" s="58">
        <f>_xlfn.IFERROR(VLOOKUP($P24,'Rd3 Winton'!$C$2:$AC$13,27,0),0)</f>
        <v>0</v>
      </c>
      <c r="I24" s="58">
        <f>_xlfn.IFERROR(VLOOKUP($P24,'Rd4 Sandown'!$C$2:$AC$24,27,0),0)</f>
        <v>0</v>
      </c>
      <c r="J24" s="58">
        <f>_xlfn.IFERROR(VLOOKUP($P24,'Rd5 Sandown'!$C$2:$AC$20,27,0),0)</f>
        <v>0</v>
      </c>
      <c r="K24" s="58">
        <v>0</v>
      </c>
      <c r="L24" s="58">
        <v>0</v>
      </c>
      <c r="M24" s="55">
        <v>0</v>
      </c>
      <c r="N24" s="55">
        <v>0</v>
      </c>
      <c r="O24" s="123">
        <v>0</v>
      </c>
      <c r="P24" s="5" t="str">
        <f>CONCATENATE(LOWER(B24)," ",LOWER(C24))</f>
        <v>tony maslen</v>
      </c>
    </row>
    <row r="25" spans="1:16" s="5" customFormat="1" ht="13.5" thickBot="1">
      <c r="A25" s="177">
        <v>20</v>
      </c>
      <c r="B25" s="309" t="s">
        <v>143</v>
      </c>
      <c r="C25" s="310" t="s">
        <v>142</v>
      </c>
      <c r="D25" s="311" t="s">
        <v>22</v>
      </c>
      <c r="E25" s="260">
        <f>SUM(F25:O25)</f>
        <v>5</v>
      </c>
      <c r="F25" s="312">
        <f>_xlfn.IFERROR(VLOOKUP($P25,'Rd1 Broadford'!$C$2:$AC$17,27,0),0)</f>
        <v>0</v>
      </c>
      <c r="G25" s="313">
        <f>_xlfn.IFERROR(VLOOKUP($P25,'Rd2 Winton'!$C$2:$AD$21,28,0),0)</f>
        <v>5</v>
      </c>
      <c r="H25" s="313">
        <f>_xlfn.IFERROR(VLOOKUP($P25,'Rd3 Winton'!$C$2:$AC$13,27,0),0)</f>
        <v>0</v>
      </c>
      <c r="I25" s="313">
        <f>_xlfn.IFERROR(VLOOKUP($P25,'Rd4 Sandown'!$C$2:$AC$24,27,0),0)</f>
        <v>0</v>
      </c>
      <c r="J25" s="313">
        <f>_xlfn.IFERROR(VLOOKUP($P25,'Rd5 Sandown'!$C$2:$AC$20,27,0),0)</f>
        <v>0</v>
      </c>
      <c r="K25" s="313">
        <v>0</v>
      </c>
      <c r="L25" s="313">
        <v>0</v>
      </c>
      <c r="M25" s="314">
        <v>0</v>
      </c>
      <c r="N25" s="314">
        <v>0</v>
      </c>
      <c r="O25" s="315">
        <v>0</v>
      </c>
      <c r="P25" s="5" t="str">
        <f>CONCATENATE(LOWER(B25)," ",LOWER(C25))</f>
        <v>george vellis</v>
      </c>
    </row>
    <row r="26" spans="1:17" ht="12.75">
      <c r="A26" s="3"/>
      <c r="B26" s="9"/>
      <c r="C26" s="9"/>
      <c r="D26" s="12"/>
      <c r="E26" s="12"/>
      <c r="F26" s="5"/>
      <c r="G26" s="5"/>
      <c r="H26" s="5"/>
      <c r="I26" s="5"/>
      <c r="J26" s="5"/>
      <c r="K26" s="5"/>
      <c r="L26" s="5"/>
      <c r="M26" s="5"/>
      <c r="N26" s="5"/>
      <c r="O26" s="5"/>
      <c r="P26" s="14"/>
      <c r="Q26" s="15"/>
    </row>
    <row r="27" spans="1:17" ht="15">
      <c r="A27" s="10" t="s">
        <v>6</v>
      </c>
      <c r="B27" s="6"/>
      <c r="C27" s="6"/>
      <c r="D27" s="17"/>
      <c r="E27" s="24"/>
      <c r="F27" s="12"/>
      <c r="G27" s="12"/>
      <c r="H27" s="12"/>
      <c r="I27" s="12"/>
      <c r="J27" s="12"/>
      <c r="K27" s="12"/>
      <c r="L27" s="12"/>
      <c r="M27" s="12"/>
      <c r="N27" s="12"/>
      <c r="O27" s="12"/>
      <c r="P27" s="14"/>
      <c r="Q27" s="15"/>
    </row>
    <row r="28" spans="1:17" ht="12.75">
      <c r="A28" s="16"/>
      <c r="B28" s="6"/>
      <c r="C28" s="6"/>
      <c r="D28" s="17"/>
      <c r="E28" s="24"/>
      <c r="F28" s="12"/>
      <c r="G28" s="12"/>
      <c r="H28" s="12"/>
      <c r="I28" s="12"/>
      <c r="J28" s="12"/>
      <c r="K28" s="12"/>
      <c r="L28" s="12"/>
      <c r="M28" s="12"/>
      <c r="N28" s="12"/>
      <c r="O28" s="12"/>
      <c r="P28" s="14"/>
      <c r="Q28" s="15"/>
    </row>
    <row r="29" spans="1:15" s="5" customFormat="1" ht="13.5" thickBot="1">
      <c r="A29" s="85" t="s">
        <v>7</v>
      </c>
      <c r="B29" s="86"/>
      <c r="C29" s="86"/>
      <c r="D29" s="7"/>
      <c r="E29" s="24"/>
      <c r="F29" s="12"/>
      <c r="G29" s="12"/>
      <c r="H29" s="12"/>
      <c r="I29" s="12"/>
      <c r="J29" s="12"/>
      <c r="K29" s="12"/>
      <c r="L29" s="12"/>
      <c r="M29" s="12"/>
      <c r="N29" s="12"/>
      <c r="O29" s="12"/>
    </row>
    <row r="30" spans="1:16" s="5" customFormat="1" ht="12.75">
      <c r="A30" s="87">
        <v>1</v>
      </c>
      <c r="B30" s="88"/>
      <c r="C30" s="88"/>
      <c r="D30" s="90" t="s">
        <v>3</v>
      </c>
      <c r="E30" s="93">
        <f>SUM(F30:O30)-SMALL(F30:O30,2)-MIN(F30:O30)</f>
        <v>0</v>
      </c>
      <c r="F30" s="523">
        <f>_xlfn.IFERROR(VLOOKUP($P30,'Rd1 Broadford'!$C$2:$AC$17,17,0),0)</f>
        <v>0</v>
      </c>
      <c r="G30" s="83">
        <f>_xlfn.IFERROR(VLOOKUP($P30,'Rd2 Winton'!$C$2:$AD$21,20,0),0)</f>
        <v>0</v>
      </c>
      <c r="H30" s="83">
        <f>_xlfn.IFERROR(VLOOKUP($P30,'Rd3 Winton'!$C$2:$AC$13,17,0),0)</f>
        <v>0</v>
      </c>
      <c r="I30" s="83">
        <f>_xlfn.IFERROR(VLOOKUP($P30,'Rd4 Sandown'!$C$2:$AC$24,17,0),0)</f>
        <v>0</v>
      </c>
      <c r="J30" s="83">
        <f>_xlfn.IFERROR(VLOOKUP($P30,'Rd5 Sandown'!$C$2:$AC$20,17,0),0)</f>
        <v>0</v>
      </c>
      <c r="K30" s="83">
        <v>0</v>
      </c>
      <c r="L30" s="83">
        <v>0</v>
      </c>
      <c r="M30" s="84">
        <v>0</v>
      </c>
      <c r="N30" s="84">
        <v>0</v>
      </c>
      <c r="O30" s="84">
        <v>0</v>
      </c>
      <c r="P30" s="5" t="str">
        <f>CONCATENATE(LOWER(B30)," ",LOWER(C30))</f>
        <v> </v>
      </c>
    </row>
    <row r="31" spans="1:16" s="5" customFormat="1" ht="12.75">
      <c r="A31" s="87">
        <v>2</v>
      </c>
      <c r="B31" s="88"/>
      <c r="C31" s="88"/>
      <c r="D31" s="90" t="s">
        <v>3</v>
      </c>
      <c r="E31" s="94">
        <f>SUM(F31:O31)-SMALL(F31:O31,2)-MIN(F31:O31)</f>
        <v>0</v>
      </c>
      <c r="F31" s="523">
        <f>_xlfn.IFERROR(VLOOKUP($P31,'Rd1 Broadford'!$C$2:$AC$17,17,0),0)</f>
        <v>0</v>
      </c>
      <c r="G31" s="83">
        <f>_xlfn.IFERROR(VLOOKUP($P31,'Rd2 Winton'!$C$2:$AD$21,20,0),0)</f>
        <v>0</v>
      </c>
      <c r="H31" s="83">
        <f>_xlfn.IFERROR(VLOOKUP($P31,'Rd3 Winton'!$C$2:$AC$13,17,0),0)</f>
        <v>0</v>
      </c>
      <c r="I31" s="83">
        <f>_xlfn.IFERROR(VLOOKUP($P31,'Rd4 Sandown'!$C$2:$AC$24,17,0),0)</f>
        <v>0</v>
      </c>
      <c r="J31" s="83">
        <f>_xlfn.IFERROR(VLOOKUP($P31,'Rd5 Sandown'!$C$2:$AC$20,17,0),0)</f>
        <v>0</v>
      </c>
      <c r="K31" s="83">
        <v>0</v>
      </c>
      <c r="L31" s="83">
        <v>0</v>
      </c>
      <c r="M31" s="84">
        <v>0</v>
      </c>
      <c r="N31" s="84">
        <v>0</v>
      </c>
      <c r="O31" s="84">
        <v>0</v>
      </c>
      <c r="P31" s="5" t="str">
        <f>CONCATENATE(LOWER(B31)," ",LOWER(C31))</f>
        <v> </v>
      </c>
    </row>
    <row r="32" spans="1:16" s="5" customFormat="1" ht="12.75">
      <c r="A32" s="87">
        <v>3</v>
      </c>
      <c r="B32" s="88"/>
      <c r="C32" s="88"/>
      <c r="D32" s="90" t="s">
        <v>3</v>
      </c>
      <c r="E32" s="94">
        <f>SUM(F32:O32)-SMALL(F32:O32,2)-MIN(F32:O32)</f>
        <v>0</v>
      </c>
      <c r="F32" s="523">
        <f>_xlfn.IFERROR(VLOOKUP($P32,'Rd1 Broadford'!$C$2:$AC$17,17,0),0)</f>
        <v>0</v>
      </c>
      <c r="G32" s="83">
        <f>_xlfn.IFERROR(VLOOKUP($P32,'Rd2 Winton'!$C$2:$AD$21,20,0),0)</f>
        <v>0</v>
      </c>
      <c r="H32" s="83">
        <f>_xlfn.IFERROR(VLOOKUP($P32,'Rd3 Winton'!$C$2:$AC$13,17,0),0)</f>
        <v>0</v>
      </c>
      <c r="I32" s="83">
        <f>_xlfn.IFERROR(VLOOKUP($P32,'Rd4 Sandown'!$C$2:$AC$24,17,0),0)</f>
        <v>0</v>
      </c>
      <c r="J32" s="83">
        <f>_xlfn.IFERROR(VLOOKUP($P32,'Rd5 Sandown'!$C$2:$AC$20,17,0),0)</f>
        <v>0</v>
      </c>
      <c r="K32" s="83">
        <v>0</v>
      </c>
      <c r="L32" s="83">
        <v>0</v>
      </c>
      <c r="M32" s="84">
        <v>0</v>
      </c>
      <c r="N32" s="84">
        <v>0</v>
      </c>
      <c r="O32" s="84">
        <v>0</v>
      </c>
      <c r="P32" s="5" t="str">
        <f>CONCATENATE(LOWER(B32)," ",LOWER(C32))</f>
        <v> </v>
      </c>
    </row>
    <row r="33" spans="1:17" ht="12.75">
      <c r="A33" s="87">
        <v>4</v>
      </c>
      <c r="B33" s="88"/>
      <c r="C33" s="88"/>
      <c r="D33" s="90" t="s">
        <v>3</v>
      </c>
      <c r="E33" s="94">
        <f>SUM(F33:O33)-SMALL(F33:O33,2)-MIN(F33:O33)</f>
        <v>0</v>
      </c>
      <c r="F33" s="523">
        <f>_xlfn.IFERROR(VLOOKUP($P33,'Rd1 Broadford'!$C$2:$AC$17,17,0),0)</f>
        <v>0</v>
      </c>
      <c r="G33" s="83">
        <f>_xlfn.IFERROR(VLOOKUP($P33,'Rd2 Winton'!$C$2:$AD$21,20,0),0)</f>
        <v>0</v>
      </c>
      <c r="H33" s="83">
        <f>_xlfn.IFERROR(VLOOKUP($P33,'Rd3 Winton'!$C$2:$AC$13,17,0),0)</f>
        <v>0</v>
      </c>
      <c r="I33" s="83">
        <f>_xlfn.IFERROR(VLOOKUP($P33,'Rd4 Sandown'!$C$2:$AC$24,17,0),0)</f>
        <v>0</v>
      </c>
      <c r="J33" s="83">
        <f>_xlfn.IFERROR(VLOOKUP($P33,'Rd5 Sandown'!$C$2:$AC$20,17,0),0)</f>
        <v>0</v>
      </c>
      <c r="K33" s="83">
        <v>0</v>
      </c>
      <c r="L33" s="83">
        <v>0</v>
      </c>
      <c r="M33" s="84">
        <v>0</v>
      </c>
      <c r="N33" s="84">
        <v>0</v>
      </c>
      <c r="O33" s="84">
        <v>0</v>
      </c>
      <c r="P33" s="5" t="str">
        <f>CONCATENATE(LOWER(B33)," ",LOWER(C33))</f>
        <v> </v>
      </c>
      <c r="Q33" s="15"/>
    </row>
    <row r="34" spans="1:17" ht="13.5" thickBot="1">
      <c r="A34" s="89">
        <v>5</v>
      </c>
      <c r="B34" s="82"/>
      <c r="C34" s="82"/>
      <c r="D34" s="90" t="s">
        <v>3</v>
      </c>
      <c r="E34" s="95">
        <f>SUM(F34:O34)-SMALL(F34:O34,2)-MIN(F34:O34)</f>
        <v>0</v>
      </c>
      <c r="F34" s="523">
        <f>_xlfn.IFERROR(VLOOKUP($P34,'Rd1 Broadford'!$C$2:$AC$17,17,0),0)</f>
        <v>0</v>
      </c>
      <c r="G34" s="83">
        <f>_xlfn.IFERROR(VLOOKUP($P34,'Rd2 Winton'!$C$2:$AD$21,20,0),0)</f>
        <v>0</v>
      </c>
      <c r="H34" s="83">
        <f>_xlfn.IFERROR(VLOOKUP($P34,'Rd3 Winton'!$C$2:$AC$13,17,0),0)</f>
        <v>0</v>
      </c>
      <c r="I34" s="83">
        <f>_xlfn.IFERROR(VLOOKUP($P34,'Rd4 Sandown'!$C$2:$AC$24,17,0),0)</f>
        <v>0</v>
      </c>
      <c r="J34" s="83">
        <f>_xlfn.IFERROR(VLOOKUP($P34,'Rd5 Sandown'!$C$2:$AC$20,17,0),0)</f>
        <v>0</v>
      </c>
      <c r="K34" s="83">
        <v>0</v>
      </c>
      <c r="L34" s="83">
        <v>0</v>
      </c>
      <c r="M34" s="84">
        <v>0</v>
      </c>
      <c r="N34" s="84">
        <v>0</v>
      </c>
      <c r="O34" s="84">
        <v>0</v>
      </c>
      <c r="P34" s="5" t="str">
        <f>CONCATENATE(LOWER(B34)," ",LOWER(C34))</f>
        <v> </v>
      </c>
      <c r="Q34" s="15"/>
    </row>
    <row r="35" spans="2:17" ht="12.75">
      <c r="B35" s="6"/>
      <c r="C35" s="6"/>
      <c r="D35" s="17"/>
      <c r="E35" s="24"/>
      <c r="F35" s="12"/>
      <c r="G35" s="12"/>
      <c r="H35" s="12"/>
      <c r="I35" s="12"/>
      <c r="J35" s="12"/>
      <c r="K35" s="12"/>
      <c r="L35" s="12"/>
      <c r="M35" s="12"/>
      <c r="N35" s="12"/>
      <c r="O35" s="12"/>
      <c r="P35" s="14"/>
      <c r="Q35" s="15"/>
    </row>
    <row r="36" spans="1:15" s="5" customFormat="1" ht="13.5" thickBot="1">
      <c r="A36" s="60" t="s">
        <v>8</v>
      </c>
      <c r="B36" s="61"/>
      <c r="C36" s="61"/>
      <c r="D36" s="7"/>
      <c r="E36" s="24"/>
      <c r="F36" s="12"/>
      <c r="G36" s="12"/>
      <c r="H36" s="12"/>
      <c r="I36" s="12"/>
      <c r="J36" s="12"/>
      <c r="K36" s="12"/>
      <c r="L36" s="12"/>
      <c r="M36" s="12"/>
      <c r="N36" s="12"/>
      <c r="O36" s="12"/>
    </row>
    <row r="37" spans="1:17" s="5" customFormat="1" ht="12.75">
      <c r="A37" s="62">
        <v>1</v>
      </c>
      <c r="B37" s="63" t="s">
        <v>37</v>
      </c>
      <c r="C37" s="63" t="s">
        <v>38</v>
      </c>
      <c r="D37" s="59" t="s">
        <v>5</v>
      </c>
      <c r="E37" s="96">
        <f aca="true" t="shared" si="0" ref="E37:E43">SUM(F37:O37)-SMALL(F37:O37,2)-MIN(F37:O37)</f>
        <v>365</v>
      </c>
      <c r="F37" s="262">
        <f>_xlfn.IFERROR(VLOOKUP($P37,'Rd1 Broadford'!$C$2:$AC$17,17,0),0)</f>
        <v>60</v>
      </c>
      <c r="G37" s="58">
        <f>_xlfn.IFERROR(VLOOKUP($P37,'Rd2 Winton'!$C$2:$AD$21,20,0),0)</f>
        <v>30</v>
      </c>
      <c r="H37" s="58">
        <f>_xlfn.IFERROR(VLOOKUP($P37,'Rd3 Winton'!$C$2:$AC$13,17,0),0)</f>
        <v>75</v>
      </c>
      <c r="I37" s="58">
        <f>_xlfn.IFERROR(VLOOKUP($P37,'Rd4 Sandown'!$C$2:$AC$24,17,0),0)</f>
        <v>100</v>
      </c>
      <c r="J37" s="58">
        <f>_xlfn.IFERROR(VLOOKUP($P37,'Rd5 Sandown'!$C$2:$AC$20,17,0),0)</f>
        <v>100</v>
      </c>
      <c r="K37" s="58">
        <v>0</v>
      </c>
      <c r="L37" s="58">
        <v>0</v>
      </c>
      <c r="M37" s="55">
        <v>0</v>
      </c>
      <c r="N37" s="55">
        <v>0</v>
      </c>
      <c r="O37" s="55">
        <v>0</v>
      </c>
      <c r="P37" s="5" t="str">
        <f aca="true" t="shared" si="1" ref="P37:P43">CONCATENATE(LOWER(B37)," ",LOWER(C37))</f>
        <v>simeon ouzas</v>
      </c>
      <c r="Q37" s="15"/>
    </row>
    <row r="38" spans="1:17" ht="12.75">
      <c r="A38" s="62">
        <v>2</v>
      </c>
      <c r="B38" s="63" t="s">
        <v>115</v>
      </c>
      <c r="C38" s="63" t="s">
        <v>92</v>
      </c>
      <c r="D38" s="59" t="s">
        <v>5</v>
      </c>
      <c r="E38" s="97">
        <f t="shared" si="0"/>
        <v>340</v>
      </c>
      <c r="F38" s="262">
        <f>_xlfn.IFERROR(VLOOKUP($P38,'Rd1 Broadford'!$C$2:$AC$17,17,0),0)</f>
        <v>30</v>
      </c>
      <c r="G38" s="58">
        <f>_xlfn.IFERROR(VLOOKUP($P38,'Rd2 Winton'!$C$2:$AD$21,20,0),0)</f>
        <v>60</v>
      </c>
      <c r="H38" s="58">
        <f>_xlfn.IFERROR(VLOOKUP($P38,'Rd3 Winton'!$C$2:$AC$13,17,0),0)</f>
        <v>100</v>
      </c>
      <c r="I38" s="58">
        <f>_xlfn.IFERROR(VLOOKUP($P38,'Rd4 Sandown'!$C$2:$AC$24,17,0),0)</f>
        <v>75</v>
      </c>
      <c r="J38" s="58">
        <f>_xlfn.IFERROR(VLOOKUP($P38,'Rd5 Sandown'!$C$2:$AC$20,17,0),0)</f>
        <v>75</v>
      </c>
      <c r="K38" s="58">
        <v>0</v>
      </c>
      <c r="L38" s="58">
        <v>0</v>
      </c>
      <c r="M38" s="55">
        <v>0</v>
      </c>
      <c r="N38" s="55">
        <v>0</v>
      </c>
      <c r="O38" s="55">
        <v>0</v>
      </c>
      <c r="P38" s="5" t="str">
        <f t="shared" si="1"/>
        <v>gareth pedley</v>
      </c>
      <c r="Q38" s="15"/>
    </row>
    <row r="39" spans="1:17" ht="12.75">
      <c r="A39" s="62">
        <v>3</v>
      </c>
      <c r="B39" s="63" t="s">
        <v>90</v>
      </c>
      <c r="C39" s="63" t="s">
        <v>91</v>
      </c>
      <c r="D39" s="59" t="s">
        <v>5</v>
      </c>
      <c r="E39" s="97">
        <f t="shared" si="0"/>
        <v>330</v>
      </c>
      <c r="F39" s="262">
        <f>_xlfn.IFERROR(VLOOKUP($P39,'Rd1 Broadford'!$C$2:$AC$17,17,0),0)</f>
        <v>75</v>
      </c>
      <c r="G39" s="58">
        <f>_xlfn.IFERROR(VLOOKUP($P39,'Rd2 Winton'!$C$2:$AD$21,20,0),0)</f>
        <v>75</v>
      </c>
      <c r="H39" s="58">
        <f>_xlfn.IFERROR(VLOOKUP($P39,'Rd3 Winton'!$C$2:$AC$13,17,0),0)</f>
        <v>60</v>
      </c>
      <c r="I39" s="58">
        <f>_xlfn.IFERROR(VLOOKUP($P39,'Rd4 Sandown'!$C$2:$AC$24,17,0),0)</f>
        <v>60</v>
      </c>
      <c r="J39" s="58">
        <f>_xlfn.IFERROR(VLOOKUP($P39,'Rd5 Sandown'!$C$2:$AC$20,17,0),0)</f>
        <v>60</v>
      </c>
      <c r="K39" s="58">
        <v>0</v>
      </c>
      <c r="L39" s="58">
        <v>0</v>
      </c>
      <c r="M39" s="55">
        <v>0</v>
      </c>
      <c r="N39" s="55">
        <v>0</v>
      </c>
      <c r="O39" s="55">
        <v>0</v>
      </c>
      <c r="P39" s="5" t="str">
        <f t="shared" si="1"/>
        <v>steve williamsz</v>
      </c>
      <c r="Q39" s="5"/>
    </row>
    <row r="40" spans="1:17" ht="12.75">
      <c r="A40" s="62">
        <v>4</v>
      </c>
      <c r="B40" s="63" t="s">
        <v>112</v>
      </c>
      <c r="C40" s="63" t="s">
        <v>230</v>
      </c>
      <c r="D40" s="59" t="s">
        <v>5</v>
      </c>
      <c r="E40" s="97">
        <f t="shared" si="0"/>
        <v>245</v>
      </c>
      <c r="F40" s="262">
        <f>_xlfn.IFERROR(VLOOKUP($P40,'Rd1 Broadford'!$C$2:$AC$17,17,0),0)</f>
        <v>100</v>
      </c>
      <c r="G40" s="58">
        <f>_xlfn.IFERROR(VLOOKUP($P40,'Rd2 Winton'!$C$2:$AD$21,20,0),0)</f>
        <v>100</v>
      </c>
      <c r="H40" s="58">
        <f>_xlfn.IFERROR(VLOOKUP($P40,'Rd3 Winton'!$C$2:$AC$13,17,0),0)</f>
        <v>0</v>
      </c>
      <c r="I40" s="58">
        <f>_xlfn.IFERROR(VLOOKUP($P40,'Rd4 Sandown'!$C$2:$AC$24,17,0),0)</f>
        <v>45</v>
      </c>
      <c r="J40" s="58">
        <f>_xlfn.IFERROR(VLOOKUP($P40,'Rd5 Sandown'!$C$2:$AC$20,17,0),0)</f>
        <v>0</v>
      </c>
      <c r="K40" s="58">
        <v>0</v>
      </c>
      <c r="L40" s="58">
        <v>0</v>
      </c>
      <c r="M40" s="55">
        <v>0</v>
      </c>
      <c r="N40" s="55">
        <v>0</v>
      </c>
      <c r="O40" s="55">
        <v>0</v>
      </c>
      <c r="P40" s="5" t="str">
        <f t="shared" si="1"/>
        <v>ibrahim rafei</v>
      </c>
      <c r="Q40" s="15"/>
    </row>
    <row r="41" spans="1:17" ht="12.75">
      <c r="A41" s="62">
        <v>5</v>
      </c>
      <c r="B41" s="63" t="s">
        <v>114</v>
      </c>
      <c r="C41" s="63" t="s">
        <v>230</v>
      </c>
      <c r="D41" s="59" t="s">
        <v>5</v>
      </c>
      <c r="E41" s="97">
        <f t="shared" si="0"/>
        <v>105</v>
      </c>
      <c r="F41" s="262">
        <f>_xlfn.IFERROR(VLOOKUP($P41,'Rd1 Broadford'!$C$2:$AC$17,17,0),0)</f>
        <v>45</v>
      </c>
      <c r="G41" s="58">
        <f>_xlfn.IFERROR(VLOOKUP($P41,'Rd2 Winton'!$C$2:$AD$21,20,0),0)</f>
        <v>45</v>
      </c>
      <c r="H41" s="58">
        <f>_xlfn.IFERROR(VLOOKUP($P41,'Rd3 Winton'!$C$2:$AC$13,17,0),0)</f>
        <v>0</v>
      </c>
      <c r="I41" s="58">
        <f>_xlfn.IFERROR(VLOOKUP($P41,'Rd4 Sandown'!$C$2:$AC$24,17,0),0)</f>
        <v>15</v>
      </c>
      <c r="J41" s="58">
        <f>_xlfn.IFERROR(VLOOKUP($P41,'Rd5 Sandown'!$C$2:$AC$20,17,0),0)</f>
        <v>0</v>
      </c>
      <c r="K41" s="58">
        <v>0</v>
      </c>
      <c r="L41" s="58">
        <v>0</v>
      </c>
      <c r="M41" s="55">
        <v>0</v>
      </c>
      <c r="N41" s="55">
        <v>0</v>
      </c>
      <c r="O41" s="55">
        <v>0</v>
      </c>
      <c r="P41" s="5" t="str">
        <f t="shared" si="1"/>
        <v>allison rafei</v>
      </c>
      <c r="Q41" s="15"/>
    </row>
    <row r="42" spans="1:17" ht="12.75">
      <c r="A42" s="62">
        <v>6</v>
      </c>
      <c r="B42" s="63" t="s">
        <v>183</v>
      </c>
      <c r="C42" s="63" t="s">
        <v>122</v>
      </c>
      <c r="D42" s="59" t="s">
        <v>5</v>
      </c>
      <c r="E42" s="97">
        <f t="shared" si="0"/>
        <v>75</v>
      </c>
      <c r="F42" s="262">
        <f>_xlfn.IFERROR(VLOOKUP($P42,'Rd1 Broadford'!$C$2:$AC$17,17,0),0)</f>
        <v>0</v>
      </c>
      <c r="G42" s="58">
        <f>_xlfn.IFERROR(VLOOKUP($P42,'Rd2 Winton'!$C$2:$AD$21,20,0),0)</f>
        <v>0</v>
      </c>
      <c r="H42" s="58">
        <f>_xlfn.IFERROR(VLOOKUP($P42,'Rd3 Winton'!$C$2:$AC$13,17,0),0)</f>
        <v>45</v>
      </c>
      <c r="I42" s="58">
        <f>_xlfn.IFERROR(VLOOKUP($P42,'Rd4 Sandown'!$C$2:$AC$24,17,0),0)</f>
        <v>30</v>
      </c>
      <c r="J42" s="58">
        <f>_xlfn.IFERROR(VLOOKUP($P42,'Rd5 Sandown'!$C$2:$AC$20,17,0),0)</f>
        <v>0</v>
      </c>
      <c r="K42" s="58">
        <v>0</v>
      </c>
      <c r="L42" s="58">
        <v>0</v>
      </c>
      <c r="M42" s="55">
        <v>0</v>
      </c>
      <c r="N42" s="55">
        <v>0</v>
      </c>
      <c r="O42" s="55">
        <v>0</v>
      </c>
      <c r="P42" s="5" t="str">
        <f t="shared" si="1"/>
        <v>john downes</v>
      </c>
      <c r="Q42" s="15"/>
    </row>
    <row r="43" spans="1:17" ht="13.5" thickBot="1">
      <c r="A43" s="62">
        <v>7</v>
      </c>
      <c r="B43" s="63" t="s">
        <v>93</v>
      </c>
      <c r="C43" s="63" t="s">
        <v>94</v>
      </c>
      <c r="D43" s="59" t="s">
        <v>5</v>
      </c>
      <c r="E43" s="98">
        <f t="shared" si="0"/>
        <v>15</v>
      </c>
      <c r="F43" s="262">
        <f>_xlfn.IFERROR(VLOOKUP($P43,'Rd1 Broadford'!$C$2:$AC$17,17,0),0)</f>
        <v>15</v>
      </c>
      <c r="G43" s="58">
        <f>_xlfn.IFERROR(VLOOKUP($P43,'Rd2 Winton'!$C$2:$AD$21,20,0),0)</f>
        <v>0</v>
      </c>
      <c r="H43" s="58">
        <f>_xlfn.IFERROR(VLOOKUP($P43,'Rd3 Winton'!$C$2:$AC$13,17,0),0)</f>
        <v>0</v>
      </c>
      <c r="I43" s="58">
        <f>_xlfn.IFERROR(VLOOKUP($P43,'Rd4 Sandown'!$C$2:$AC$24,17,0),0)</f>
        <v>0</v>
      </c>
      <c r="J43" s="58">
        <f>_xlfn.IFERROR(VLOOKUP($P43,'Rd5 Sandown'!$C$2:$AC$20,17,0),0)</f>
        <v>0</v>
      </c>
      <c r="K43" s="58">
        <v>0</v>
      </c>
      <c r="L43" s="58">
        <v>0</v>
      </c>
      <c r="M43" s="55">
        <v>0</v>
      </c>
      <c r="N43" s="55">
        <v>0</v>
      </c>
      <c r="O43" s="55">
        <v>0</v>
      </c>
      <c r="P43" s="5" t="str">
        <f t="shared" si="1"/>
        <v>tony maslen</v>
      </c>
      <c r="Q43" s="15"/>
    </row>
    <row r="44" spans="2:17" ht="12.75">
      <c r="B44" s="18"/>
      <c r="C44" s="18"/>
      <c r="D44" s="19"/>
      <c r="E44" s="24"/>
      <c r="F44" s="4"/>
      <c r="G44" s="4"/>
      <c r="H44" s="1"/>
      <c r="I44" s="4"/>
      <c r="J44" s="4"/>
      <c r="K44" s="4"/>
      <c r="L44" s="4"/>
      <c r="M44" s="12"/>
      <c r="N44" s="12"/>
      <c r="O44" s="12"/>
      <c r="P44" s="14"/>
      <c r="Q44" s="15"/>
    </row>
    <row r="45" spans="1:17" ht="13.5" thickBot="1">
      <c r="A45" s="171" t="s">
        <v>9</v>
      </c>
      <c r="B45" s="172"/>
      <c r="C45" s="172"/>
      <c r="D45" s="15"/>
      <c r="E45" s="24"/>
      <c r="F45" s="4"/>
      <c r="G45" s="4"/>
      <c r="H45" s="5"/>
      <c r="I45" s="4"/>
      <c r="J45" s="4"/>
      <c r="K45" s="4"/>
      <c r="L45" s="4"/>
      <c r="M45" s="12"/>
      <c r="N45" s="12"/>
      <c r="O45" s="12"/>
      <c r="P45" s="14"/>
      <c r="Q45" s="15"/>
    </row>
    <row r="46" spans="1:17" ht="12.75">
      <c r="A46" s="161">
        <v>1</v>
      </c>
      <c r="B46" s="168" t="s">
        <v>289</v>
      </c>
      <c r="C46" s="168" t="s">
        <v>290</v>
      </c>
      <c r="D46" s="167" t="s">
        <v>4</v>
      </c>
      <c r="E46" s="157">
        <f>SUM(F46:O46)-SMALL(F46:O46,2)-MIN(F46:O46)</f>
        <v>100</v>
      </c>
      <c r="F46" s="520">
        <f>_xlfn.IFERROR(VLOOKUP($P46,'Rd1 Broadford'!$C$2:$AC$17,17,0),0)</f>
        <v>0</v>
      </c>
      <c r="G46" s="158">
        <f>_xlfn.IFERROR(VLOOKUP($P46,'Rd2 Winton'!$C$2:$AD$21,20,0),0)</f>
        <v>0</v>
      </c>
      <c r="H46" s="158">
        <f>_xlfn.IFERROR(VLOOKUP($P46,'Rd3 Winton'!$C$2:$AC$13,17,0),0)</f>
        <v>0</v>
      </c>
      <c r="I46" s="158">
        <f>_xlfn.IFERROR(VLOOKUP($P46,'Rd4 Sandown'!$C$2:$AC$24,17,0),0)</f>
        <v>0</v>
      </c>
      <c r="J46" s="158">
        <f>_xlfn.IFERROR(VLOOKUP($P46,'Rd5 Sandown'!$C$2:$AC$20,17,0),0)</f>
        <v>100</v>
      </c>
      <c r="K46" s="158">
        <v>0</v>
      </c>
      <c r="L46" s="158">
        <v>0</v>
      </c>
      <c r="M46" s="159">
        <v>0</v>
      </c>
      <c r="N46" s="159">
        <v>0</v>
      </c>
      <c r="O46" s="159">
        <v>0</v>
      </c>
      <c r="P46" s="5" t="str">
        <f>CONCATENATE(LOWER(B46)," ",LOWER(C46))</f>
        <v>ian vague</v>
      </c>
      <c r="Q46" s="15"/>
    </row>
    <row r="47" spans="1:17" ht="12.75">
      <c r="A47" s="161">
        <v>2</v>
      </c>
      <c r="B47" s="168" t="s">
        <v>292</v>
      </c>
      <c r="C47" s="168" t="s">
        <v>291</v>
      </c>
      <c r="D47" s="167" t="s">
        <v>4</v>
      </c>
      <c r="E47" s="160">
        <f>SUM(F47:O47)-SMALL(F47:O47,2)-MIN(F47:O47)</f>
        <v>75</v>
      </c>
      <c r="F47" s="520">
        <f>_xlfn.IFERROR(VLOOKUP($P47,'Rd1 Broadford'!$C$2:$AC$17,17,0),0)</f>
        <v>0</v>
      </c>
      <c r="G47" s="158">
        <f>_xlfn.IFERROR(VLOOKUP($P47,'Rd2 Winton'!$C$2:$AD$21,20,0),0)</f>
        <v>0</v>
      </c>
      <c r="H47" s="158">
        <f>_xlfn.IFERROR(VLOOKUP($P47,'Rd3 Winton'!$C$2:$AC$13,17,0),0)</f>
        <v>0</v>
      </c>
      <c r="I47" s="158">
        <f>_xlfn.IFERROR(VLOOKUP($P47,'Rd4 Sandown'!$C$2:$AC$24,17,0),0)</f>
        <v>0</v>
      </c>
      <c r="J47" s="158">
        <f>_xlfn.IFERROR(VLOOKUP($P47,'Rd5 Sandown'!$C$2:$AC$20,17,0),0)</f>
        <v>75</v>
      </c>
      <c r="K47" s="158">
        <v>0</v>
      </c>
      <c r="L47" s="158">
        <v>0</v>
      </c>
      <c r="M47" s="159">
        <v>0</v>
      </c>
      <c r="N47" s="159">
        <v>0</v>
      </c>
      <c r="O47" s="159">
        <v>0</v>
      </c>
      <c r="P47" s="5" t="str">
        <f>CONCATENATE(LOWER(B47)," ",LOWER(C47))</f>
        <v>malcolm leigh</v>
      </c>
      <c r="Q47" s="15"/>
    </row>
    <row r="48" spans="1:17" ht="12.75">
      <c r="A48" s="161">
        <v>3</v>
      </c>
      <c r="B48" s="156"/>
      <c r="C48" s="156"/>
      <c r="D48" s="167" t="s">
        <v>4</v>
      </c>
      <c r="E48" s="160">
        <f>SUM(F48:O48)-SMALL(F48:O48,2)-MIN(F48:O48)</f>
        <v>0</v>
      </c>
      <c r="F48" s="520">
        <f>_xlfn.IFERROR(VLOOKUP($P48,'Rd1 Broadford'!$C$2:$AC$17,17,0),0)</f>
        <v>0</v>
      </c>
      <c r="G48" s="158">
        <f>_xlfn.IFERROR(VLOOKUP($P48,'Rd2 Winton'!$C$2:$AD$21,20,0),0)</f>
        <v>0</v>
      </c>
      <c r="H48" s="158">
        <f>_xlfn.IFERROR(VLOOKUP($P48,'Rd3 Winton'!$C$2:$AC$13,17,0),0)</f>
        <v>0</v>
      </c>
      <c r="I48" s="158">
        <f>_xlfn.IFERROR(VLOOKUP($P48,'Rd4 Sandown'!$C$2:$AC$24,17,0),0)</f>
        <v>0</v>
      </c>
      <c r="J48" s="158">
        <f>_xlfn.IFERROR(VLOOKUP($P48,'Rd5 Sandown'!$C$2:$AC$20,17,0),0)</f>
        <v>0</v>
      </c>
      <c r="K48" s="158">
        <v>0</v>
      </c>
      <c r="L48" s="158">
        <v>0</v>
      </c>
      <c r="M48" s="159">
        <v>0</v>
      </c>
      <c r="N48" s="159">
        <v>0</v>
      </c>
      <c r="O48" s="159">
        <v>0</v>
      </c>
      <c r="P48" s="5" t="str">
        <f>CONCATENATE(LOWER(B48)," ",LOWER(C48))</f>
        <v> </v>
      </c>
      <c r="Q48" s="15"/>
    </row>
    <row r="49" spans="1:17" ht="12.75">
      <c r="A49" s="161">
        <v>4</v>
      </c>
      <c r="B49" s="162"/>
      <c r="C49" s="162"/>
      <c r="D49" s="167" t="s">
        <v>4</v>
      </c>
      <c r="E49" s="160">
        <f>SUM(F49:O49)-SMALL(F49:O49,2)-MIN(F49:O49)</f>
        <v>0</v>
      </c>
      <c r="F49" s="520">
        <f>_xlfn.IFERROR(VLOOKUP($P49,'Rd1 Broadford'!$C$2:$AC$17,17,0),0)</f>
        <v>0</v>
      </c>
      <c r="G49" s="158">
        <f>_xlfn.IFERROR(VLOOKUP($P49,'Rd2 Winton'!$C$2:$AD$21,20,0),0)</f>
        <v>0</v>
      </c>
      <c r="H49" s="158">
        <f>_xlfn.IFERROR(VLOOKUP($P49,'Rd3 Winton'!$C$2:$AC$13,17,0),0)</f>
        <v>0</v>
      </c>
      <c r="I49" s="158">
        <f>_xlfn.IFERROR(VLOOKUP($P49,'Rd4 Sandown'!$C$2:$AC$24,17,0),0)</f>
        <v>0</v>
      </c>
      <c r="J49" s="158">
        <f>_xlfn.IFERROR(VLOOKUP($P49,'Rd5 Sandown'!$C$2:$AC$20,17,0),0)</f>
        <v>0</v>
      </c>
      <c r="K49" s="158">
        <v>0</v>
      </c>
      <c r="L49" s="158">
        <v>0</v>
      </c>
      <c r="M49" s="159">
        <v>0</v>
      </c>
      <c r="N49" s="159">
        <v>0</v>
      </c>
      <c r="O49" s="159">
        <v>0</v>
      </c>
      <c r="P49" s="5" t="str">
        <f>CONCATENATE(LOWER(B49)," ",LOWER(C49))</f>
        <v> </v>
      </c>
      <c r="Q49" s="15"/>
    </row>
    <row r="50" spans="1:17" ht="13.5" thickBot="1">
      <c r="A50" s="161">
        <v>5</v>
      </c>
      <c r="B50" s="156"/>
      <c r="C50" s="156"/>
      <c r="D50" s="167" t="s">
        <v>4</v>
      </c>
      <c r="E50" s="163">
        <f>SUM(F50:O50)-SMALL(F50:O50,2)-MIN(F50:O50)</f>
        <v>0</v>
      </c>
      <c r="F50" s="520">
        <f>_xlfn.IFERROR(VLOOKUP($P50,'Rd1 Broadford'!$C$2:$AC$17,17,0),0)</f>
        <v>0</v>
      </c>
      <c r="G50" s="158">
        <f>_xlfn.IFERROR(VLOOKUP($P50,'Rd2 Winton'!$C$2:$AD$21,20,0),0)</f>
        <v>0</v>
      </c>
      <c r="H50" s="158">
        <f>_xlfn.IFERROR(VLOOKUP($P50,'Rd3 Winton'!$C$2:$AC$13,17,0),0)</f>
        <v>0</v>
      </c>
      <c r="I50" s="158">
        <f>_xlfn.IFERROR(VLOOKUP($P50,'Rd4 Sandown'!$C$2:$AC$24,17,0),0)</f>
        <v>0</v>
      </c>
      <c r="J50" s="158">
        <f>_xlfn.IFERROR(VLOOKUP($P50,'Rd5 Sandown'!$C$2:$AC$20,17,0),0)</f>
        <v>0</v>
      </c>
      <c r="K50" s="158">
        <v>0</v>
      </c>
      <c r="L50" s="158">
        <v>0</v>
      </c>
      <c r="M50" s="159">
        <v>0</v>
      </c>
      <c r="N50" s="159">
        <v>0</v>
      </c>
      <c r="O50" s="159">
        <v>0</v>
      </c>
      <c r="P50" s="5" t="str">
        <f>CONCATENATE(LOWER(B50)," ",LOWER(C50))</f>
        <v> </v>
      </c>
      <c r="Q50" s="15"/>
    </row>
    <row r="51" spans="1:17" ht="12.75">
      <c r="A51" s="13"/>
      <c r="B51" s="22"/>
      <c r="C51" s="22"/>
      <c r="D51" s="23"/>
      <c r="E51" s="24"/>
      <c r="F51" s="4"/>
      <c r="G51" s="4"/>
      <c r="H51" s="4"/>
      <c r="I51" s="4"/>
      <c r="J51" s="4"/>
      <c r="K51" s="4"/>
      <c r="L51" s="4"/>
      <c r="M51" s="12"/>
      <c r="N51" s="12"/>
      <c r="O51" s="12"/>
      <c r="P51" s="14"/>
      <c r="Q51" s="15"/>
    </row>
    <row r="52" spans="1:17" ht="13.5" thickBot="1">
      <c r="A52" s="169" t="s">
        <v>20</v>
      </c>
      <c r="B52" s="170"/>
      <c r="C52" s="170"/>
      <c r="D52" s="15"/>
      <c r="E52" s="24"/>
      <c r="F52" s="4"/>
      <c r="G52" s="4"/>
      <c r="H52" s="5"/>
      <c r="I52" s="4"/>
      <c r="J52" s="4"/>
      <c r="K52" s="4"/>
      <c r="L52" s="4"/>
      <c r="M52" s="12"/>
      <c r="N52" s="12"/>
      <c r="O52" s="12"/>
      <c r="P52" s="14"/>
      <c r="Q52" s="15"/>
    </row>
    <row r="53" spans="1:17" ht="12.75">
      <c r="A53" s="153">
        <v>1</v>
      </c>
      <c r="B53" s="166" t="s">
        <v>180</v>
      </c>
      <c r="C53" s="264" t="s">
        <v>181</v>
      </c>
      <c r="D53" s="165" t="s">
        <v>55</v>
      </c>
      <c r="E53" s="149">
        <f>SUM(F53:O53)-SMALL(F53:O53,2)-MIN(F53:O53)</f>
        <v>200</v>
      </c>
      <c r="F53" s="266">
        <f>_xlfn.IFERROR(VLOOKUP($P53,'Rd1 Broadford'!$C$2:$AC$17,17,0),0)</f>
        <v>0</v>
      </c>
      <c r="G53" s="150">
        <f>_xlfn.IFERROR(VLOOKUP($P53,'Rd2 Winton'!$C$2:$AD$21,20,0),0)</f>
        <v>0</v>
      </c>
      <c r="H53" s="150">
        <f>_xlfn.IFERROR(VLOOKUP($P53,'Rd3 Winton'!$C$2:$AC$13,17,0),0)</f>
        <v>100</v>
      </c>
      <c r="I53" s="150">
        <f>_xlfn.IFERROR(VLOOKUP($P53,'Rd4 Sandown'!$C$2:$AC$24,17,0),0)</f>
        <v>100</v>
      </c>
      <c r="J53" s="150">
        <f>_xlfn.IFERROR(VLOOKUP($P53,'Rd5 Sandown'!$C$2:$AC$20,17,0),0)</f>
        <v>0</v>
      </c>
      <c r="K53" s="150">
        <v>0</v>
      </c>
      <c r="L53" s="150">
        <v>0</v>
      </c>
      <c r="M53" s="151">
        <v>0</v>
      </c>
      <c r="N53" s="151">
        <v>0</v>
      </c>
      <c r="O53" s="151">
        <v>0</v>
      </c>
      <c r="P53" s="5" t="str">
        <f>CONCATENATE(LOWER(B53)," ",LOWER(C53))</f>
        <v>randy stagno navarra</v>
      </c>
      <c r="Q53" s="15"/>
    </row>
    <row r="54" spans="1:17" ht="12.75">
      <c r="A54" s="153">
        <v>2</v>
      </c>
      <c r="B54" s="246" t="s">
        <v>33</v>
      </c>
      <c r="C54" s="246" t="s">
        <v>150</v>
      </c>
      <c r="D54" s="165" t="s">
        <v>55</v>
      </c>
      <c r="E54" s="152">
        <f>SUM(F54:O54)-SMALL(F54:O54,2)-MIN(F54:O54)</f>
        <v>100</v>
      </c>
      <c r="F54" s="266">
        <f>_xlfn.IFERROR(VLOOKUP($P54,'Rd1 Broadford'!$C$2:$AC$17,17,0),0)</f>
        <v>0</v>
      </c>
      <c r="G54" s="150">
        <f>_xlfn.IFERROR(VLOOKUP($P54,'Rd2 Winton'!$C$2:$AD$21,20,0),0)</f>
        <v>100</v>
      </c>
      <c r="H54" s="150">
        <f>_xlfn.IFERROR(VLOOKUP($P54,'Rd3 Winton'!$C$2:$AC$13,17,0),0)</f>
        <v>0</v>
      </c>
      <c r="I54" s="150">
        <f>_xlfn.IFERROR(VLOOKUP($P54,'Rd4 Sandown'!$C$2:$AC$24,17,0),0)</f>
        <v>0</v>
      </c>
      <c r="J54" s="150">
        <f>_xlfn.IFERROR(VLOOKUP($P54,'Rd5 Sandown'!$C$2:$AC$20,17,0),0)</f>
        <v>0</v>
      </c>
      <c r="K54" s="150">
        <v>0</v>
      </c>
      <c r="L54" s="150">
        <v>0</v>
      </c>
      <c r="M54" s="151">
        <v>0</v>
      </c>
      <c r="N54" s="151">
        <v>0</v>
      </c>
      <c r="O54" s="151">
        <v>0</v>
      </c>
      <c r="P54" s="5" t="str">
        <f>CONCATENATE(LOWER(B54)," ",LOWER(C54))</f>
        <v>tim edwards</v>
      </c>
      <c r="Q54" s="15"/>
    </row>
    <row r="55" spans="1:17" ht="12.75">
      <c r="A55" s="153">
        <v>3</v>
      </c>
      <c r="B55" s="148"/>
      <c r="C55" s="148"/>
      <c r="D55" s="165" t="s">
        <v>55</v>
      </c>
      <c r="E55" s="152">
        <f>SUM(F55:O55)-SMALL(F55:O55,2)-MIN(F55:O55)</f>
        <v>0</v>
      </c>
      <c r="F55" s="266">
        <f>_xlfn.IFERROR(VLOOKUP($P55,'Rd1 Broadford'!$C$2:$AC$17,17,0),0)</f>
        <v>0</v>
      </c>
      <c r="G55" s="150">
        <f>_xlfn.IFERROR(VLOOKUP($P55,'Rd2 Winton'!$C$2:$AD$21,20,0),0)</f>
        <v>0</v>
      </c>
      <c r="H55" s="150">
        <f>_xlfn.IFERROR(VLOOKUP($P55,'Rd3 Winton'!$C$2:$AC$13,17,0),0)</f>
        <v>0</v>
      </c>
      <c r="I55" s="150">
        <f>_xlfn.IFERROR(VLOOKUP($P55,'Rd4 Sandown'!$C$2:$AC$24,17,0),0)</f>
        <v>0</v>
      </c>
      <c r="J55" s="150">
        <f>_xlfn.IFERROR(VLOOKUP($P55,'Rd5 Sandown'!$C$2:$AC$20,17,0),0)</f>
        <v>0</v>
      </c>
      <c r="K55" s="150">
        <v>0</v>
      </c>
      <c r="L55" s="150">
        <v>0</v>
      </c>
      <c r="M55" s="151">
        <v>0</v>
      </c>
      <c r="N55" s="151">
        <v>0</v>
      </c>
      <c r="O55" s="151">
        <v>0</v>
      </c>
      <c r="P55" s="5" t="str">
        <f>CONCATENATE(LOWER(B55)," ",LOWER(C55))</f>
        <v> </v>
      </c>
      <c r="Q55" s="15"/>
    </row>
    <row r="56" spans="1:17" ht="12.75">
      <c r="A56" s="153">
        <v>4</v>
      </c>
      <c r="B56" s="154"/>
      <c r="C56" s="154"/>
      <c r="D56" s="165" t="s">
        <v>55</v>
      </c>
      <c r="E56" s="152">
        <f>SUM(F56:O56)-SMALL(F56:O56,2)-MIN(F56:O56)</f>
        <v>0</v>
      </c>
      <c r="F56" s="266">
        <f>_xlfn.IFERROR(VLOOKUP($P56,'Rd1 Broadford'!$C$2:$AC$17,17,0),0)</f>
        <v>0</v>
      </c>
      <c r="G56" s="150">
        <f>_xlfn.IFERROR(VLOOKUP($P56,'Rd2 Winton'!$C$2:$AD$21,20,0),0)</f>
        <v>0</v>
      </c>
      <c r="H56" s="150">
        <f>_xlfn.IFERROR(VLOOKUP($P56,'Rd3 Winton'!$C$2:$AC$13,17,0),0)</f>
        <v>0</v>
      </c>
      <c r="I56" s="150">
        <f>_xlfn.IFERROR(VLOOKUP($P56,'Rd4 Sandown'!$C$2:$AC$24,17,0),0)</f>
        <v>0</v>
      </c>
      <c r="J56" s="150">
        <f>_xlfn.IFERROR(VLOOKUP($P56,'Rd5 Sandown'!$C$2:$AC$20,17,0),0)</f>
        <v>0</v>
      </c>
      <c r="K56" s="150">
        <v>0</v>
      </c>
      <c r="L56" s="150">
        <v>0</v>
      </c>
      <c r="M56" s="151">
        <v>0</v>
      </c>
      <c r="N56" s="151">
        <v>0</v>
      </c>
      <c r="O56" s="151">
        <v>0</v>
      </c>
      <c r="P56" s="5" t="str">
        <f>CONCATENATE(LOWER(B56)," ",LOWER(C56))</f>
        <v> </v>
      </c>
      <c r="Q56" s="15"/>
    </row>
    <row r="57" spans="1:17" ht="13.5" thickBot="1">
      <c r="A57" s="153">
        <v>5</v>
      </c>
      <c r="B57" s="148"/>
      <c r="C57" s="148"/>
      <c r="D57" s="165" t="s">
        <v>55</v>
      </c>
      <c r="E57" s="155">
        <f>SUM(F57:O57)-SMALL(F57:O57,2)-MIN(F57:O57)</f>
        <v>0</v>
      </c>
      <c r="F57" s="266">
        <f>_xlfn.IFERROR(VLOOKUP($P57,'Rd1 Broadford'!$C$2:$AC$17,17,0),0)</f>
        <v>0</v>
      </c>
      <c r="G57" s="150">
        <f>_xlfn.IFERROR(VLOOKUP($P57,'Rd2 Winton'!$C$2:$AD$21,20,0),0)</f>
        <v>0</v>
      </c>
      <c r="H57" s="150">
        <f>_xlfn.IFERROR(VLOOKUP($P57,'Rd3 Winton'!$C$2:$AC$13,17,0),0)</f>
        <v>0</v>
      </c>
      <c r="I57" s="150">
        <f>_xlfn.IFERROR(VLOOKUP($P57,'Rd4 Sandown'!$C$2:$AC$24,17,0),0)</f>
        <v>0</v>
      </c>
      <c r="J57" s="150">
        <f>_xlfn.IFERROR(VLOOKUP($P57,'Rd5 Sandown'!$C$2:$AC$20,17,0),0)</f>
        <v>0</v>
      </c>
      <c r="K57" s="150">
        <v>0</v>
      </c>
      <c r="L57" s="150">
        <v>0</v>
      </c>
      <c r="M57" s="151">
        <v>0</v>
      </c>
      <c r="N57" s="151">
        <v>0</v>
      </c>
      <c r="O57" s="151">
        <v>0</v>
      </c>
      <c r="P57" s="5" t="str">
        <f>CONCATENATE(LOWER(B57)," ",LOWER(C57))</f>
        <v> </v>
      </c>
      <c r="Q57" s="15"/>
    </row>
    <row r="58" spans="1:17" ht="12.75">
      <c r="A58" s="13"/>
      <c r="B58" s="22"/>
      <c r="C58" s="22"/>
      <c r="D58" s="23"/>
      <c r="E58" s="24"/>
      <c r="F58" s="4"/>
      <c r="G58" s="4"/>
      <c r="H58" s="4"/>
      <c r="I58" s="4"/>
      <c r="J58" s="4"/>
      <c r="K58" s="4"/>
      <c r="L58" s="4"/>
      <c r="M58" s="12"/>
      <c r="N58" s="12"/>
      <c r="O58" s="12"/>
      <c r="P58" s="14"/>
      <c r="Q58" s="15"/>
    </row>
    <row r="59" spans="1:15" s="5" customFormat="1" ht="13.5" thickBot="1">
      <c r="A59" s="227" t="s">
        <v>18</v>
      </c>
      <c r="B59" s="219"/>
      <c r="C59" s="219"/>
      <c r="D59" s="15"/>
      <c r="E59" s="24"/>
      <c r="F59" s="4"/>
      <c r="G59" s="4"/>
      <c r="I59" s="4"/>
      <c r="J59" s="4"/>
      <c r="K59" s="4"/>
      <c r="L59" s="4"/>
      <c r="M59" s="12"/>
      <c r="N59" s="12"/>
      <c r="O59" s="12"/>
    </row>
    <row r="60" spans="1:16" s="5" customFormat="1" ht="12.75">
      <c r="A60" s="220">
        <v>1</v>
      </c>
      <c r="B60" s="218" t="s">
        <v>121</v>
      </c>
      <c r="C60" s="218" t="s">
        <v>122</v>
      </c>
      <c r="D60" s="221" t="s">
        <v>22</v>
      </c>
      <c r="E60" s="222">
        <f>SUM(F60:O60)-SMALL(F60:O60,2)-MIN(F60:O60)</f>
        <v>500</v>
      </c>
      <c r="F60" s="522">
        <f>_xlfn.IFERROR(VLOOKUP($P60,'Rd1 Broadford'!$C$2:$AC$17,17,0),0)</f>
        <v>100</v>
      </c>
      <c r="G60" s="212">
        <f>_xlfn.IFERROR(VLOOKUP($P60,'Rd2 Winton'!$C$2:$AD$21,20,0),0)</f>
        <v>100</v>
      </c>
      <c r="H60" s="212">
        <f>_xlfn.IFERROR(VLOOKUP($P60,'Rd3 Winton'!$C$2:$AC$13,17,0),0)</f>
        <v>100</v>
      </c>
      <c r="I60" s="212">
        <f>_xlfn.IFERROR(VLOOKUP($P60,'Rd4 Sandown'!$C$2:$AC$24,17,0),0)</f>
        <v>100</v>
      </c>
      <c r="J60" s="212">
        <f>_xlfn.IFERROR(VLOOKUP($P60,'Rd5 Sandown'!$C$2:$AC$20,17,0),0)</f>
        <v>100</v>
      </c>
      <c r="K60" s="212">
        <v>0</v>
      </c>
      <c r="L60" s="212">
        <v>0</v>
      </c>
      <c r="M60" s="213">
        <v>0</v>
      </c>
      <c r="N60" s="213">
        <v>0</v>
      </c>
      <c r="O60" s="213">
        <v>0</v>
      </c>
      <c r="P60" s="5" t="str">
        <f>CONCATENATE(LOWER(B60)," ",LOWER(C60))</f>
        <v>robert downes</v>
      </c>
    </row>
    <row r="61" spans="1:16" s="5" customFormat="1" ht="12.75">
      <c r="A61" s="220">
        <v>2</v>
      </c>
      <c r="B61" s="218" t="s">
        <v>143</v>
      </c>
      <c r="C61" s="218" t="s">
        <v>142</v>
      </c>
      <c r="D61" s="221" t="s">
        <v>22</v>
      </c>
      <c r="E61" s="223">
        <f>SUM(F61:O61)-SMALL(F61:O61,2)-MIN(F61:O61)</f>
        <v>75</v>
      </c>
      <c r="F61" s="522">
        <f>_xlfn.IFERROR(VLOOKUP($P61,'Rd1 Broadford'!$C$2:$AC$17,17,0),0)</f>
        <v>0</v>
      </c>
      <c r="G61" s="212">
        <f>_xlfn.IFERROR(VLOOKUP($P61,'Rd2 Winton'!$C$2:$AD$21,20,0),0)</f>
        <v>75</v>
      </c>
      <c r="H61" s="212">
        <f>_xlfn.IFERROR(VLOOKUP($P61,'Rd3 Winton'!$C$2:$AC$13,17,0),0)</f>
        <v>0</v>
      </c>
      <c r="I61" s="212">
        <f>_xlfn.IFERROR(VLOOKUP($P61,'Rd4 Sandown'!$C$2:$AC$24,17,0),0)</f>
        <v>0</v>
      </c>
      <c r="J61" s="212">
        <f>_xlfn.IFERROR(VLOOKUP($P61,'Rd5 Sandown'!$C$2:$AC$20,17,0),0)</f>
        <v>0</v>
      </c>
      <c r="K61" s="212">
        <v>0</v>
      </c>
      <c r="L61" s="212">
        <v>0</v>
      </c>
      <c r="M61" s="213">
        <v>0</v>
      </c>
      <c r="N61" s="213">
        <v>0</v>
      </c>
      <c r="O61" s="213">
        <v>0</v>
      </c>
      <c r="P61" s="5" t="str">
        <f>CONCATENATE(LOWER(B61)," ",LOWER(C61))</f>
        <v>george vellis</v>
      </c>
    </row>
    <row r="62" spans="1:16" s="5" customFormat="1" ht="12.75">
      <c r="A62" s="220">
        <v>3</v>
      </c>
      <c r="B62" s="224"/>
      <c r="C62" s="224"/>
      <c r="D62" s="221" t="s">
        <v>22</v>
      </c>
      <c r="E62" s="223">
        <f>SUM(F62:O62)-SMALL(F62:O62,2)-MIN(F62:O62)</f>
        <v>0</v>
      </c>
      <c r="F62" s="522">
        <f>_xlfn.IFERROR(VLOOKUP($P62,'Rd1 Broadford'!$C$2:$AC$17,17,0),0)</f>
        <v>0</v>
      </c>
      <c r="G62" s="212">
        <f>_xlfn.IFERROR(VLOOKUP($P62,'Rd2 Winton'!$C$2:$AD$21,20,0),0)</f>
        <v>0</v>
      </c>
      <c r="H62" s="212">
        <f>_xlfn.IFERROR(VLOOKUP($P62,'Rd3 Winton'!$C$2:$AC$13,17,0),0)</f>
        <v>0</v>
      </c>
      <c r="I62" s="212">
        <f>_xlfn.IFERROR(VLOOKUP($P62,'Rd4 Sandown'!$C$2:$AC$24,17,0),0)</f>
        <v>0</v>
      </c>
      <c r="J62" s="212">
        <f>_xlfn.IFERROR(VLOOKUP($P62,'Rd5 Sandown'!$C$2:$AC$20,17,0),0)</f>
        <v>0</v>
      </c>
      <c r="K62" s="212">
        <v>0</v>
      </c>
      <c r="L62" s="212">
        <v>0</v>
      </c>
      <c r="M62" s="213">
        <v>0</v>
      </c>
      <c r="N62" s="213">
        <v>0</v>
      </c>
      <c r="O62" s="213">
        <v>0</v>
      </c>
      <c r="P62" s="5" t="str">
        <f>CONCATENATE(LOWER(B62)," ",LOWER(C62))</f>
        <v> </v>
      </c>
    </row>
    <row r="63" spans="1:17" s="5" customFormat="1" ht="12.75">
      <c r="A63" s="220">
        <v>4</v>
      </c>
      <c r="B63" s="224"/>
      <c r="C63" s="224"/>
      <c r="D63" s="221" t="s">
        <v>22</v>
      </c>
      <c r="E63" s="223">
        <f>SUM(F63:O63)-SMALL(F63:O63,2)-MIN(F63:O63)</f>
        <v>0</v>
      </c>
      <c r="F63" s="522">
        <f>_xlfn.IFERROR(VLOOKUP($P63,'Rd1 Broadford'!$C$2:$AC$17,17,0),0)</f>
        <v>0</v>
      </c>
      <c r="G63" s="212">
        <f>_xlfn.IFERROR(VLOOKUP($P63,'Rd2 Winton'!$C$2:$AD$21,20,0),0)</f>
        <v>0</v>
      </c>
      <c r="H63" s="212">
        <f>_xlfn.IFERROR(VLOOKUP($P63,'Rd3 Winton'!$C$2:$AC$13,17,0),0)</f>
        <v>0</v>
      </c>
      <c r="I63" s="212">
        <f>_xlfn.IFERROR(VLOOKUP($P63,'Rd4 Sandown'!$C$2:$AC$24,17,0),0)</f>
        <v>0</v>
      </c>
      <c r="J63" s="212">
        <f>_xlfn.IFERROR(VLOOKUP($P63,'Rd5 Sandown'!$C$2:$AC$20,17,0),0)</f>
        <v>0</v>
      </c>
      <c r="K63" s="212">
        <v>0</v>
      </c>
      <c r="L63" s="212">
        <v>0</v>
      </c>
      <c r="M63" s="213">
        <v>0</v>
      </c>
      <c r="N63" s="213">
        <v>0</v>
      </c>
      <c r="O63" s="213">
        <v>0</v>
      </c>
      <c r="P63" s="5" t="str">
        <f>CONCATENATE(LOWER(B63)," ",LOWER(C63))</f>
        <v> </v>
      </c>
      <c r="Q63" s="15"/>
    </row>
    <row r="64" spans="1:17" s="5" customFormat="1" ht="13.5" thickBot="1">
      <c r="A64" s="225">
        <v>5</v>
      </c>
      <c r="B64" s="224"/>
      <c r="C64" s="224"/>
      <c r="D64" s="221" t="s">
        <v>22</v>
      </c>
      <c r="E64" s="226">
        <f>SUM(F64:O64)-SMALL(F64:O64,2)-MIN(F64:O64)</f>
        <v>0</v>
      </c>
      <c r="F64" s="522">
        <f>_xlfn.IFERROR(VLOOKUP($P64,'Rd1 Broadford'!$C$2:$AC$17,17,0),0)</f>
        <v>0</v>
      </c>
      <c r="G64" s="212">
        <f>_xlfn.IFERROR(VLOOKUP($P64,'Rd2 Winton'!$C$2:$AD$21,20,0),0)</f>
        <v>0</v>
      </c>
      <c r="H64" s="212">
        <f>_xlfn.IFERROR(VLOOKUP($P64,'Rd3 Winton'!$C$2:$AC$13,17,0),0)</f>
        <v>0</v>
      </c>
      <c r="I64" s="212">
        <f>_xlfn.IFERROR(VLOOKUP($P64,'Rd4 Sandown'!$C$2:$AC$24,17,0),0)</f>
        <v>0</v>
      </c>
      <c r="J64" s="212">
        <f>_xlfn.IFERROR(VLOOKUP($P64,'Rd5 Sandown'!$C$2:$AC$20,17,0),0)</f>
        <v>0</v>
      </c>
      <c r="K64" s="212">
        <v>0</v>
      </c>
      <c r="L64" s="212">
        <v>0</v>
      </c>
      <c r="M64" s="213">
        <v>0</v>
      </c>
      <c r="N64" s="213">
        <v>0</v>
      </c>
      <c r="O64" s="213">
        <v>0</v>
      </c>
      <c r="P64" s="5" t="str">
        <f>CONCATENATE(LOWER(B64)," ",LOWER(C64))</f>
        <v> </v>
      </c>
      <c r="Q64" s="15"/>
    </row>
    <row r="65" spans="1:17" s="5" customFormat="1" ht="12.75">
      <c r="A65" s="13"/>
      <c r="B65" s="22"/>
      <c r="C65" s="22"/>
      <c r="D65" s="4"/>
      <c r="E65" s="24"/>
      <c r="F65" s="4"/>
      <c r="G65" s="4"/>
      <c r="I65" s="4"/>
      <c r="J65" s="4"/>
      <c r="K65" s="4"/>
      <c r="L65" s="4"/>
      <c r="M65" s="12"/>
      <c r="N65" s="12"/>
      <c r="O65" s="12"/>
      <c r="P65" s="14"/>
      <c r="Q65" s="15"/>
    </row>
    <row r="66" spans="1:15" s="5" customFormat="1" ht="13.5" thickBot="1">
      <c r="A66" s="47" t="s">
        <v>19</v>
      </c>
      <c r="B66" s="48"/>
      <c r="C66" s="48"/>
      <c r="D66" s="15"/>
      <c r="E66" s="24"/>
      <c r="F66" s="4"/>
      <c r="G66" s="4"/>
      <c r="I66" s="4"/>
      <c r="J66" s="4"/>
      <c r="K66" s="4"/>
      <c r="L66" s="4"/>
      <c r="M66" s="12"/>
      <c r="N66" s="12"/>
      <c r="O66" s="12"/>
    </row>
    <row r="67" spans="1:16" s="5" customFormat="1" ht="12.75">
      <c r="A67" s="44">
        <v>1</v>
      </c>
      <c r="B67" s="114" t="s">
        <v>35</v>
      </c>
      <c r="C67" s="114" t="s">
        <v>36</v>
      </c>
      <c r="D67" s="92" t="s">
        <v>21</v>
      </c>
      <c r="E67" s="99">
        <f>SUM(F67:O67)-SMALL(F67:O67,2)-MIN(F67:O67)</f>
        <v>400</v>
      </c>
      <c r="F67" s="234">
        <f>_xlfn.IFERROR(VLOOKUP($P67,'Rd1 Broadford'!$C$2:$AC$17,17,0),0)</f>
        <v>100</v>
      </c>
      <c r="G67" s="45">
        <f>_xlfn.IFERROR(VLOOKUP($P67,'Rd2 Winton'!$C$2:$AD$21,20,0),0)</f>
        <v>0</v>
      </c>
      <c r="H67" s="45">
        <f>_xlfn.IFERROR(VLOOKUP($P67,'Rd3 Winton'!$C$2:$AC$13,17,0),0)</f>
        <v>100</v>
      </c>
      <c r="I67" s="45">
        <f>_xlfn.IFERROR(VLOOKUP($P67,'Rd4 Sandown'!$C$2:$AC$24,17,0),0)</f>
        <v>100</v>
      </c>
      <c r="J67" s="45">
        <f>_xlfn.IFERROR(VLOOKUP($P67,'Rd5 Sandown'!$C$2:$AC$20,17,0),0)</f>
        <v>100</v>
      </c>
      <c r="K67" s="45">
        <v>0</v>
      </c>
      <c r="L67" s="45">
        <v>0</v>
      </c>
      <c r="M67" s="38">
        <v>0</v>
      </c>
      <c r="N67" s="38">
        <v>0</v>
      </c>
      <c r="O67" s="38">
        <v>0</v>
      </c>
      <c r="P67" s="5" t="str">
        <f>CONCATENATE(LOWER(B67)," ",LOWER(C67))</f>
        <v>noel heritage</v>
      </c>
    </row>
    <row r="68" spans="1:16" s="5" customFormat="1" ht="12.75">
      <c r="A68" s="44">
        <v>2</v>
      </c>
      <c r="B68" s="35" t="s">
        <v>146</v>
      </c>
      <c r="C68" s="114" t="s">
        <v>147</v>
      </c>
      <c r="D68" s="92" t="s">
        <v>21</v>
      </c>
      <c r="E68" s="100">
        <f>SUM(F68:O68)-SMALL(F68:O68,2)-MIN(F68:O68)</f>
        <v>250</v>
      </c>
      <c r="F68" s="234">
        <f>_xlfn.IFERROR(VLOOKUP($P68,'Rd1 Broadford'!$C$2:$AC$17,17,0),0)</f>
        <v>0</v>
      </c>
      <c r="G68" s="45">
        <f>_xlfn.IFERROR(VLOOKUP($P68,'Rd2 Winton'!$C$2:$AD$21,20,0),0)</f>
        <v>100</v>
      </c>
      <c r="H68" s="45">
        <f>_xlfn.IFERROR(VLOOKUP($P68,'Rd3 Winton'!$C$2:$AC$13,17,0),0)</f>
        <v>0</v>
      </c>
      <c r="I68" s="45">
        <f>_xlfn.IFERROR(VLOOKUP($P68,'Rd4 Sandown'!$C$2:$AC$24,17,0),0)</f>
        <v>75</v>
      </c>
      <c r="J68" s="45">
        <f>_xlfn.IFERROR(VLOOKUP($P68,'Rd5 Sandown'!$C$2:$AC$20,17,0),0)</f>
        <v>75</v>
      </c>
      <c r="K68" s="45">
        <v>0</v>
      </c>
      <c r="L68" s="45">
        <v>0</v>
      </c>
      <c r="M68" s="38">
        <v>0</v>
      </c>
      <c r="N68" s="38">
        <v>0</v>
      </c>
      <c r="O68" s="38">
        <v>0</v>
      </c>
      <c r="P68" s="5" t="str">
        <f>CONCATENATE(LOWER(B68)," ",LOWER(C68))</f>
        <v>peter dannock</v>
      </c>
    </row>
    <row r="69" spans="1:16" s="5" customFormat="1" ht="12.75">
      <c r="A69" s="44">
        <v>3</v>
      </c>
      <c r="B69" s="114" t="s">
        <v>123</v>
      </c>
      <c r="C69" s="114" t="s">
        <v>124</v>
      </c>
      <c r="D69" s="92" t="s">
        <v>21</v>
      </c>
      <c r="E69" s="100">
        <f>SUM(F69:O69)-SMALL(F69:O69,2)-MIN(F69:O69)</f>
        <v>210</v>
      </c>
      <c r="F69" s="234">
        <f>_xlfn.IFERROR(VLOOKUP($P69,'Rd1 Broadford'!$C$2:$AC$17,17,0),0)</f>
        <v>75</v>
      </c>
      <c r="G69" s="45">
        <f>_xlfn.IFERROR(VLOOKUP($P69,'Rd2 Winton'!$C$2:$AD$21,20,0),0)</f>
        <v>0</v>
      </c>
      <c r="H69" s="45">
        <f>_xlfn.IFERROR(VLOOKUP($P69,'Rd3 Winton'!$C$2:$AC$13,17,0),0)</f>
        <v>75</v>
      </c>
      <c r="I69" s="45">
        <f>_xlfn.IFERROR(VLOOKUP($P69,'Rd4 Sandown'!$C$2:$AC$24,17,0),0)</f>
        <v>60</v>
      </c>
      <c r="J69" s="45">
        <f>_xlfn.IFERROR(VLOOKUP($P69,'Rd5 Sandown'!$C$2:$AC$20,17,0),0)</f>
        <v>0</v>
      </c>
      <c r="K69" s="45">
        <v>0</v>
      </c>
      <c r="L69" s="45">
        <v>0</v>
      </c>
      <c r="M69" s="38">
        <v>0</v>
      </c>
      <c r="N69" s="38">
        <v>0</v>
      </c>
      <c r="O69" s="38">
        <v>0</v>
      </c>
      <c r="P69" s="5" t="str">
        <f>CONCATENATE(LOWER(B69)," ",LOWER(C69))</f>
        <v>murray seymour</v>
      </c>
    </row>
    <row r="70" spans="1:17" ht="12.75">
      <c r="A70" s="44">
        <v>4</v>
      </c>
      <c r="B70" s="35"/>
      <c r="C70" s="35"/>
      <c r="D70" s="92" t="s">
        <v>21</v>
      </c>
      <c r="E70" s="100">
        <f>SUM(F70:O70)-SMALL(F70:O70,2)-MIN(F70:O70)</f>
        <v>0</v>
      </c>
      <c r="F70" s="234">
        <f>_xlfn.IFERROR(VLOOKUP($P70,'Rd1 Broadford'!$C$2:$AC$17,17,0),0)</f>
        <v>0</v>
      </c>
      <c r="G70" s="45">
        <f>_xlfn.IFERROR(VLOOKUP($P70,'Rd2 Winton'!$C$2:$AD$21,20,0),0)</f>
        <v>0</v>
      </c>
      <c r="H70" s="45">
        <f>_xlfn.IFERROR(VLOOKUP($P70,'Rd3 Winton'!$C$2:$AC$13,17,0),0)</f>
        <v>0</v>
      </c>
      <c r="I70" s="45">
        <f>_xlfn.IFERROR(VLOOKUP($P70,'Rd4 Sandown'!$C$2:$AC$24,17,0),0)</f>
        <v>0</v>
      </c>
      <c r="J70" s="45">
        <f>_xlfn.IFERROR(VLOOKUP($P70,'Rd5 Sandown'!$C$2:$AC$20,17,0),0)</f>
        <v>0</v>
      </c>
      <c r="K70" s="45">
        <v>0</v>
      </c>
      <c r="L70" s="45">
        <v>0</v>
      </c>
      <c r="M70" s="38">
        <v>0</v>
      </c>
      <c r="N70" s="38">
        <v>0</v>
      </c>
      <c r="O70" s="38">
        <v>0</v>
      </c>
      <c r="P70" s="5" t="str">
        <f>CONCATENATE(LOWER(B70)," ",LOWER(C70))</f>
        <v> </v>
      </c>
      <c r="Q70" s="15"/>
    </row>
    <row r="71" spans="1:17" ht="13.5" thickBot="1">
      <c r="A71" s="46">
        <v>5</v>
      </c>
      <c r="B71" s="114"/>
      <c r="C71" s="114"/>
      <c r="D71" s="92" t="s">
        <v>21</v>
      </c>
      <c r="E71" s="101">
        <f>SUM(F71:O71)-SMALL(F71:O71,2)-MIN(F71:O71)</f>
        <v>0</v>
      </c>
      <c r="F71" s="234">
        <f>_xlfn.IFERROR(VLOOKUP($P71,'Rd1 Broadford'!$C$2:$AC$17,17,0),0)</f>
        <v>0</v>
      </c>
      <c r="G71" s="45">
        <f>_xlfn.IFERROR(VLOOKUP($P71,'Rd2 Winton'!$C$2:$AD$21,20,0),0)</f>
        <v>0</v>
      </c>
      <c r="H71" s="45">
        <f>_xlfn.IFERROR(VLOOKUP($P71,'Rd3 Winton'!$C$2:$AC$13,17,0),0)</f>
        <v>0</v>
      </c>
      <c r="I71" s="45">
        <f>_xlfn.IFERROR(VLOOKUP($P71,'Rd4 Sandown'!$C$2:$AC$24,17,0),0)</f>
        <v>0</v>
      </c>
      <c r="J71" s="45">
        <f>_xlfn.IFERROR(VLOOKUP($P71,'Rd5 Sandown'!$C$2:$AC$20,17,0),0)</f>
        <v>0</v>
      </c>
      <c r="K71" s="45">
        <v>0</v>
      </c>
      <c r="L71" s="45">
        <v>0</v>
      </c>
      <c r="M71" s="38">
        <v>0</v>
      </c>
      <c r="N71" s="38">
        <v>0</v>
      </c>
      <c r="O71" s="38">
        <v>0</v>
      </c>
      <c r="P71" s="5" t="str">
        <f>CONCATENATE(LOWER(B71)," ",LOWER(C71))</f>
        <v> </v>
      </c>
      <c r="Q71" s="15"/>
    </row>
    <row r="72" spans="1:17" ht="12.75">
      <c r="A72" s="13"/>
      <c r="B72" s="22"/>
      <c r="C72" s="22"/>
      <c r="D72" s="4"/>
      <c r="E72" s="24"/>
      <c r="F72" s="4"/>
      <c r="G72" s="4"/>
      <c r="H72" s="1"/>
      <c r="I72" s="4"/>
      <c r="J72" s="4"/>
      <c r="K72" s="4"/>
      <c r="L72" s="4"/>
      <c r="M72" s="12"/>
      <c r="N72" s="12"/>
      <c r="O72" s="12"/>
      <c r="P72" s="14"/>
      <c r="Q72" s="15"/>
    </row>
    <row r="73" spans="1:15" s="5" customFormat="1" ht="13.5" thickBot="1">
      <c r="A73" s="52" t="s">
        <v>53</v>
      </c>
      <c r="B73" s="53"/>
      <c r="C73" s="53"/>
      <c r="D73" s="15"/>
      <c r="E73" s="24"/>
      <c r="F73" s="4"/>
      <c r="G73" s="4"/>
      <c r="I73" s="4"/>
      <c r="J73" s="4"/>
      <c r="K73" s="4"/>
      <c r="L73" s="4"/>
      <c r="M73" s="12"/>
      <c r="N73" s="12"/>
      <c r="O73" s="12"/>
    </row>
    <row r="74" spans="1:16" s="5" customFormat="1" ht="12.75">
      <c r="A74" s="49">
        <v>1</v>
      </c>
      <c r="B74" s="131" t="s">
        <v>148</v>
      </c>
      <c r="C74" s="131" t="s">
        <v>149</v>
      </c>
      <c r="D74" s="50" t="s">
        <v>56</v>
      </c>
      <c r="E74" s="102">
        <f>SUM(F74:O74)-SMALL(F74:O74,2)-MIN(F74:O74)</f>
        <v>175</v>
      </c>
      <c r="F74" s="269">
        <f>_xlfn.IFERROR(VLOOKUP($P74,'Rd1 Broadford'!$C$2:$AC$17,17,0),0)</f>
        <v>0</v>
      </c>
      <c r="G74" s="51">
        <f>_xlfn.IFERROR(VLOOKUP($P74,'Rd2 Winton'!$C$2:$AD$21,20,0),0)</f>
        <v>75</v>
      </c>
      <c r="H74" s="51">
        <f>_xlfn.IFERROR(VLOOKUP($P74,'Rd3 Winton'!$C$2:$AC$13,17,0),0)</f>
        <v>0</v>
      </c>
      <c r="I74" s="51">
        <f>_xlfn.IFERROR(VLOOKUP($P74,'Rd4 Sandown'!$C$2:$AC$24,17,0),0)</f>
        <v>100</v>
      </c>
      <c r="J74" s="51">
        <f>_xlfn.IFERROR(VLOOKUP($P74,'Rd5 Sandown'!$C$2:$AC$20,17,0),0)</f>
        <v>0</v>
      </c>
      <c r="K74" s="51">
        <v>0</v>
      </c>
      <c r="L74" s="51">
        <v>0</v>
      </c>
      <c r="M74" s="36">
        <v>0</v>
      </c>
      <c r="N74" s="36">
        <v>0</v>
      </c>
      <c r="O74" s="36">
        <v>0</v>
      </c>
      <c r="P74" s="5" t="str">
        <f>CONCATENATE(LOWER(B74)," ",LOWER(C74))</f>
        <v>gavin newman</v>
      </c>
    </row>
    <row r="75" spans="1:16" s="5" customFormat="1" ht="12.75">
      <c r="A75" s="49">
        <v>2</v>
      </c>
      <c r="B75" s="131" t="s">
        <v>144</v>
      </c>
      <c r="C75" s="131" t="s">
        <v>145</v>
      </c>
      <c r="D75" s="50" t="s">
        <v>56</v>
      </c>
      <c r="E75" s="103">
        <f>SUM(F75:O75)-SMALL(F75:O75,2)-MIN(F75:O75)</f>
        <v>175</v>
      </c>
      <c r="F75" s="269">
        <f>_xlfn.IFERROR(VLOOKUP($P75,'Rd1 Broadford'!$C$2:$AC$17,17,0),0)</f>
        <v>0</v>
      </c>
      <c r="G75" s="51">
        <f>_xlfn.IFERROR(VLOOKUP($P75,'Rd2 Winton'!$C$2:$AD$21,20,0),0)</f>
        <v>100</v>
      </c>
      <c r="H75" s="51">
        <f>_xlfn.IFERROR(VLOOKUP($P75,'Rd3 Winton'!$C$2:$AC$13,17,0),0)</f>
        <v>0</v>
      </c>
      <c r="I75" s="51">
        <f>_xlfn.IFERROR(VLOOKUP($P75,'Rd4 Sandown'!$C$2:$AC$24,17,0),0)</f>
        <v>75</v>
      </c>
      <c r="J75" s="51">
        <f>_xlfn.IFERROR(VLOOKUP($P75,'Rd5 Sandown'!$C$2:$AC$20,17,0),0)</f>
        <v>0</v>
      </c>
      <c r="K75" s="51">
        <v>0</v>
      </c>
      <c r="L75" s="51">
        <v>0</v>
      </c>
      <c r="M75" s="36">
        <v>0</v>
      </c>
      <c r="N75" s="36">
        <v>0</v>
      </c>
      <c r="O75" s="36">
        <v>0</v>
      </c>
      <c r="P75" s="5" t="str">
        <f>CONCATENATE(LOWER(B75)," ",LOWER(C75))</f>
        <v>daniel white</v>
      </c>
    </row>
    <row r="76" spans="1:16" s="5" customFormat="1" ht="12.75">
      <c r="A76" s="49">
        <v>3</v>
      </c>
      <c r="B76" s="131"/>
      <c r="C76" s="131"/>
      <c r="D76" s="50" t="s">
        <v>56</v>
      </c>
      <c r="E76" s="103">
        <f>SUM(F76:O76)-SMALL(F76:O76,2)-MIN(F76:O76)</f>
        <v>0</v>
      </c>
      <c r="F76" s="269">
        <f>_xlfn.IFERROR(VLOOKUP($P76,'Rd1 Broadford'!$C$2:$AC$17,17,0),0)</f>
        <v>0</v>
      </c>
      <c r="G76" s="51">
        <f>_xlfn.IFERROR(VLOOKUP($P76,'Rd2 Winton'!$C$2:$AD$21,20,0),0)</f>
        <v>0</v>
      </c>
      <c r="H76" s="51">
        <f>_xlfn.IFERROR(VLOOKUP($P76,'Rd3 Winton'!$C$2:$AC$13,17,0),0)</f>
        <v>0</v>
      </c>
      <c r="I76" s="51">
        <f>_xlfn.IFERROR(VLOOKUP($P76,'Rd4 Sandown'!$C$2:$AC$24,17,0),0)</f>
        <v>0</v>
      </c>
      <c r="J76" s="51">
        <f>_xlfn.IFERROR(VLOOKUP($P76,'Rd5 Sandown'!$C$2:$AC$20,17,0),0)</f>
        <v>0</v>
      </c>
      <c r="K76" s="51">
        <v>0</v>
      </c>
      <c r="L76" s="51">
        <v>0</v>
      </c>
      <c r="M76" s="36">
        <v>0</v>
      </c>
      <c r="N76" s="36">
        <v>0</v>
      </c>
      <c r="O76" s="36">
        <v>0</v>
      </c>
      <c r="P76" s="5" t="str">
        <f>CONCATENATE(LOWER(B76)," ",LOWER(C76))</f>
        <v> </v>
      </c>
    </row>
    <row r="77" spans="1:16" s="5" customFormat="1" ht="12.75">
      <c r="A77" s="49">
        <v>4</v>
      </c>
      <c r="B77" s="131"/>
      <c r="C77" s="131"/>
      <c r="D77" s="50" t="s">
        <v>56</v>
      </c>
      <c r="E77" s="103">
        <f>SUM(F77:O77)-SMALL(F77:O77,2)-MIN(F77:O77)</f>
        <v>0</v>
      </c>
      <c r="F77" s="269">
        <f>_xlfn.IFERROR(VLOOKUP($P77,'Rd1 Broadford'!$C$2:$AC$17,17,0),0)</f>
        <v>0</v>
      </c>
      <c r="G77" s="51">
        <f>_xlfn.IFERROR(VLOOKUP($P77,'Rd2 Winton'!$C$2:$AD$21,20,0),0)</f>
        <v>0</v>
      </c>
      <c r="H77" s="51">
        <f>_xlfn.IFERROR(VLOOKUP($P77,'Rd3 Winton'!$C$2:$AC$13,17,0),0)</f>
        <v>0</v>
      </c>
      <c r="I77" s="51">
        <f>_xlfn.IFERROR(VLOOKUP($P77,'Rd4 Sandown'!$C$2:$AC$24,17,0),0)</f>
        <v>0</v>
      </c>
      <c r="J77" s="51">
        <f>_xlfn.IFERROR(VLOOKUP($P77,'Rd5 Sandown'!$C$2:$AC$20,17,0),0)</f>
        <v>0</v>
      </c>
      <c r="K77" s="51">
        <v>0</v>
      </c>
      <c r="L77" s="51">
        <v>0</v>
      </c>
      <c r="M77" s="36">
        <v>0</v>
      </c>
      <c r="N77" s="36">
        <v>0</v>
      </c>
      <c r="O77" s="36">
        <v>0</v>
      </c>
      <c r="P77" s="5" t="str">
        <f>CONCATENATE(LOWER(B77)," ",LOWER(C77))</f>
        <v> </v>
      </c>
    </row>
    <row r="78" spans="1:16" s="5" customFormat="1" ht="13.5" thickBot="1">
      <c r="A78" s="49">
        <v>5</v>
      </c>
      <c r="B78" s="131"/>
      <c r="C78" s="131"/>
      <c r="D78" s="50" t="s">
        <v>56</v>
      </c>
      <c r="E78" s="104">
        <f>SUM(F78:O78)-SMALL(F78:O78,2)-MIN(F78:O78)</f>
        <v>0</v>
      </c>
      <c r="F78" s="269">
        <f>_xlfn.IFERROR(VLOOKUP($P78,'Rd1 Broadford'!$C$2:$AC$17,17,0),0)</f>
        <v>0</v>
      </c>
      <c r="G78" s="51">
        <f>_xlfn.IFERROR(VLOOKUP($P78,'Rd2 Winton'!$C$2:$AD$21,20,0),0)</f>
        <v>0</v>
      </c>
      <c r="H78" s="51">
        <f>_xlfn.IFERROR(VLOOKUP($P78,'Rd3 Winton'!$C$2:$AC$13,17,0),0)</f>
        <v>0</v>
      </c>
      <c r="I78" s="51">
        <f>_xlfn.IFERROR(VLOOKUP($P78,'Rd4 Sandown'!$C$2:$AC$24,17,0),0)</f>
        <v>0</v>
      </c>
      <c r="J78" s="51">
        <f>_xlfn.IFERROR(VLOOKUP($P78,'Rd5 Sandown'!$C$2:$AC$20,17,0),0)</f>
        <v>0</v>
      </c>
      <c r="K78" s="51">
        <v>0</v>
      </c>
      <c r="L78" s="51">
        <v>0</v>
      </c>
      <c r="M78" s="36">
        <v>0</v>
      </c>
      <c r="N78" s="36">
        <v>0</v>
      </c>
      <c r="O78" s="36">
        <v>0</v>
      </c>
      <c r="P78" s="5" t="str">
        <f>CONCATENATE(LOWER(B78)," ",LOWER(C78))</f>
        <v> </v>
      </c>
    </row>
    <row r="79" spans="1:17" ht="12.75">
      <c r="A79" s="13"/>
      <c r="B79" s="5"/>
      <c r="C79" s="5"/>
      <c r="D79" s="23"/>
      <c r="E79" s="24"/>
      <c r="F79" s="12"/>
      <c r="G79" s="12"/>
      <c r="H79" s="1"/>
      <c r="I79" s="12"/>
      <c r="J79" s="12"/>
      <c r="K79" s="12"/>
      <c r="L79" s="4"/>
      <c r="M79" s="12"/>
      <c r="N79" s="12"/>
      <c r="O79" s="12"/>
      <c r="P79" s="14"/>
      <c r="Q79" s="15"/>
    </row>
    <row r="80" spans="1:15" s="5" customFormat="1" ht="13.5" thickBot="1">
      <c r="A80" s="42" t="s">
        <v>54</v>
      </c>
      <c r="B80" s="43"/>
      <c r="C80" s="43"/>
      <c r="D80" s="15"/>
      <c r="E80" s="24"/>
      <c r="F80" s="4"/>
      <c r="G80" s="4"/>
      <c r="I80" s="4"/>
      <c r="J80" s="4"/>
      <c r="K80" s="4"/>
      <c r="L80" s="4"/>
      <c r="M80" s="12"/>
      <c r="N80" s="12"/>
      <c r="O80" s="12"/>
    </row>
    <row r="81" spans="1:16" s="5" customFormat="1" ht="12.75">
      <c r="A81" s="39">
        <v>1</v>
      </c>
      <c r="B81" s="130" t="s">
        <v>31</v>
      </c>
      <c r="C81" s="130" t="s">
        <v>32</v>
      </c>
      <c r="D81" s="40" t="s">
        <v>57</v>
      </c>
      <c r="E81" s="105">
        <f>SUM(F81:O81)-SMALL(F81:O81,2)-MIN(F81:O81)</f>
        <v>500</v>
      </c>
      <c r="F81" s="521">
        <f>_xlfn.IFERROR(VLOOKUP($P81,'Rd1 Broadford'!$C$2:$AC$17,17,0),0)</f>
        <v>100</v>
      </c>
      <c r="G81" s="41">
        <f>_xlfn.IFERROR(VLOOKUP($P81,'Rd2 Winton'!$C$2:$AD$21,20,0),0)</f>
        <v>100</v>
      </c>
      <c r="H81" s="41">
        <f>_xlfn.IFERROR(VLOOKUP($P81,'Rd3 Winton'!$C$2:$AC$13,17,0),0)</f>
        <v>100</v>
      </c>
      <c r="I81" s="41">
        <f>_xlfn.IFERROR(VLOOKUP($P81,'Rd4 Sandown'!$C$2:$AC$24,17,0),0)</f>
        <v>100</v>
      </c>
      <c r="J81" s="41">
        <f>_xlfn.IFERROR(VLOOKUP($P81,'Rd5 Sandown'!$C$2:$AC$20,17,0),0)</f>
        <v>100</v>
      </c>
      <c r="K81" s="41">
        <v>0</v>
      </c>
      <c r="L81" s="41">
        <v>0</v>
      </c>
      <c r="M81" s="37">
        <v>0</v>
      </c>
      <c r="N81" s="37">
        <v>0</v>
      </c>
      <c r="O81" s="37">
        <v>0</v>
      </c>
      <c r="P81" s="5" t="str">
        <f>CONCATENATE(LOWER(B81)," ",LOWER(C81))</f>
        <v>alan conrad</v>
      </c>
    </row>
    <row r="82" spans="1:16" s="5" customFormat="1" ht="12.75">
      <c r="A82" s="39">
        <v>2</v>
      </c>
      <c r="B82" s="130"/>
      <c r="C82" s="130"/>
      <c r="D82" s="40" t="s">
        <v>57</v>
      </c>
      <c r="E82" s="106">
        <f>SUM(F82:O82)-SMALL(F82:O82,2)-MIN(F82:O82)</f>
        <v>0</v>
      </c>
      <c r="F82" s="521">
        <f>_xlfn.IFERROR(VLOOKUP($P82,'Rd1 Broadford'!$C$2:$AC$17,17,0),0)</f>
        <v>0</v>
      </c>
      <c r="G82" s="41">
        <f>_xlfn.IFERROR(VLOOKUP($P82,'Rd2 Winton'!$C$2:$AD$21,20,0),0)</f>
        <v>0</v>
      </c>
      <c r="H82" s="41">
        <f>_xlfn.IFERROR(VLOOKUP($P82,'Rd3 Winton'!$C$2:$AC$13,17,0),0)</f>
        <v>0</v>
      </c>
      <c r="I82" s="41">
        <f>_xlfn.IFERROR(VLOOKUP($P82,'Rd4 Sandown'!$C$2:$AC$24,17,0),0)</f>
        <v>0</v>
      </c>
      <c r="J82" s="41">
        <f>_xlfn.IFERROR(VLOOKUP($P82,'Rd5 Sandown'!$C$2:$AC$20,17,0),0)</f>
        <v>0</v>
      </c>
      <c r="K82" s="41">
        <v>0</v>
      </c>
      <c r="L82" s="41">
        <v>0</v>
      </c>
      <c r="M82" s="37">
        <v>0</v>
      </c>
      <c r="N82" s="37">
        <v>0</v>
      </c>
      <c r="O82" s="37">
        <v>0</v>
      </c>
      <c r="P82" s="5" t="str">
        <f>CONCATENATE(LOWER(B82)," ",LOWER(C82))</f>
        <v> </v>
      </c>
    </row>
    <row r="83" spans="1:16" s="5" customFormat="1" ht="12.75">
      <c r="A83" s="39">
        <v>3</v>
      </c>
      <c r="B83" s="130"/>
      <c r="C83" s="130"/>
      <c r="D83" s="40" t="s">
        <v>57</v>
      </c>
      <c r="E83" s="106">
        <f>SUM(F83:O83)-SMALL(F83:O83,2)-MIN(F83:O83)</f>
        <v>0</v>
      </c>
      <c r="F83" s="521">
        <f>_xlfn.IFERROR(VLOOKUP($P83,'Rd1 Broadford'!$C$2:$AC$17,17,0),0)</f>
        <v>0</v>
      </c>
      <c r="G83" s="41">
        <f>_xlfn.IFERROR(VLOOKUP($P83,'Rd2 Winton'!$C$2:$AD$21,20,0),0)</f>
        <v>0</v>
      </c>
      <c r="H83" s="41">
        <f>_xlfn.IFERROR(VLOOKUP($P83,'Rd3 Winton'!$C$2:$AC$13,17,0),0)</f>
        <v>0</v>
      </c>
      <c r="I83" s="41">
        <f>_xlfn.IFERROR(VLOOKUP($P83,'Rd4 Sandown'!$C$2:$AC$24,17,0),0)</f>
        <v>0</v>
      </c>
      <c r="J83" s="41">
        <f>_xlfn.IFERROR(VLOOKUP($P83,'Rd5 Sandown'!$C$2:$AC$20,17,0),0)</f>
        <v>0</v>
      </c>
      <c r="K83" s="41">
        <v>0</v>
      </c>
      <c r="L83" s="41">
        <v>0</v>
      </c>
      <c r="M83" s="37">
        <v>0</v>
      </c>
      <c r="N83" s="37">
        <v>0</v>
      </c>
      <c r="O83" s="37">
        <v>0</v>
      </c>
      <c r="P83" s="5" t="str">
        <f>CONCATENATE(LOWER(B83)," ",LOWER(C83))</f>
        <v> </v>
      </c>
    </row>
    <row r="84" spans="1:16" s="5" customFormat="1" ht="12.75">
      <c r="A84" s="39">
        <v>4</v>
      </c>
      <c r="B84" s="130"/>
      <c r="C84" s="130"/>
      <c r="D84" s="40" t="s">
        <v>57</v>
      </c>
      <c r="E84" s="106">
        <f>SUM(F84:O84)-SMALL(F84:O84,2)-MIN(F84:O84)</f>
        <v>0</v>
      </c>
      <c r="F84" s="521">
        <f>_xlfn.IFERROR(VLOOKUP($P84,'Rd1 Broadford'!$C$2:$AC$17,17,0),0)</f>
        <v>0</v>
      </c>
      <c r="G84" s="41">
        <f>_xlfn.IFERROR(VLOOKUP($P84,'Rd2 Winton'!$C$2:$AD$21,20,0),0)</f>
        <v>0</v>
      </c>
      <c r="H84" s="41">
        <f>_xlfn.IFERROR(VLOOKUP($P84,'Rd3 Winton'!$C$2:$AC$13,17,0),0)</f>
        <v>0</v>
      </c>
      <c r="I84" s="41">
        <f>_xlfn.IFERROR(VLOOKUP($P84,'Rd4 Sandown'!$C$2:$AC$24,17,0),0)</f>
        <v>0</v>
      </c>
      <c r="J84" s="41">
        <f>_xlfn.IFERROR(VLOOKUP($P84,'Rd5 Sandown'!$C$2:$AC$20,17,0),0)</f>
        <v>0</v>
      </c>
      <c r="K84" s="41">
        <v>0</v>
      </c>
      <c r="L84" s="41">
        <v>0</v>
      </c>
      <c r="M84" s="37">
        <v>0</v>
      </c>
      <c r="N84" s="37">
        <v>0</v>
      </c>
      <c r="O84" s="37">
        <v>0</v>
      </c>
      <c r="P84" s="5" t="str">
        <f>CONCATENATE(LOWER(B84)," ",LOWER(C84))</f>
        <v> </v>
      </c>
    </row>
    <row r="85" spans="1:16" s="5" customFormat="1" ht="13.5" thickBot="1">
      <c r="A85" s="39">
        <v>5</v>
      </c>
      <c r="B85" s="130"/>
      <c r="C85" s="130"/>
      <c r="D85" s="40" t="s">
        <v>57</v>
      </c>
      <c r="E85" s="107">
        <f>SUM(F85:O85)-SMALL(F85:O85,2)-MIN(F85:O85)</f>
        <v>0</v>
      </c>
      <c r="F85" s="521">
        <f>_xlfn.IFERROR(VLOOKUP($P85,'Rd1 Broadford'!$C$2:$AC$17,17,0),0)</f>
        <v>0</v>
      </c>
      <c r="G85" s="41">
        <f>_xlfn.IFERROR(VLOOKUP($P85,'Rd2 Winton'!$C$2:$AD$21,20,0),0)</f>
        <v>0</v>
      </c>
      <c r="H85" s="41">
        <f>_xlfn.IFERROR(VLOOKUP($P85,'Rd3 Winton'!$C$2:$AC$13,17,0),0)</f>
        <v>0</v>
      </c>
      <c r="I85" s="41">
        <f>_xlfn.IFERROR(VLOOKUP($P85,'Rd4 Sandown'!$C$2:$AC$24,17,0),0)</f>
        <v>0</v>
      </c>
      <c r="J85" s="41">
        <f>_xlfn.IFERROR(VLOOKUP($P85,'Rd5 Sandown'!$C$2:$AC$20,17,0),0)</f>
        <v>0</v>
      </c>
      <c r="K85" s="41">
        <v>0</v>
      </c>
      <c r="L85" s="41">
        <v>0</v>
      </c>
      <c r="M85" s="37">
        <v>0</v>
      </c>
      <c r="N85" s="37">
        <v>0</v>
      </c>
      <c r="O85" s="37">
        <v>0</v>
      </c>
      <c r="P85" s="5" t="str">
        <f>CONCATENATE(LOWER(B85)," ",LOWER(C85))</f>
        <v> </v>
      </c>
    </row>
    <row r="86" spans="1:17" ht="12.75">
      <c r="A86" s="13"/>
      <c r="B86" s="5"/>
      <c r="C86" s="5"/>
      <c r="D86" s="23"/>
      <c r="E86" s="24"/>
      <c r="F86" s="12"/>
      <c r="G86" s="12"/>
      <c r="H86" s="1"/>
      <c r="I86" s="12"/>
      <c r="J86" s="12"/>
      <c r="K86" s="12"/>
      <c r="L86" s="4"/>
      <c r="M86" s="12"/>
      <c r="N86" s="12"/>
      <c r="O86" s="12"/>
      <c r="P86" s="14"/>
      <c r="Q86" s="15"/>
    </row>
    <row r="87" spans="1:15" s="5" customFormat="1" ht="13.5" thickBot="1">
      <c r="A87" s="173" t="s">
        <v>17</v>
      </c>
      <c r="B87" s="174"/>
      <c r="C87" s="174"/>
      <c r="D87" s="15"/>
      <c r="E87" s="24"/>
      <c r="F87" s="4"/>
      <c r="G87" s="4"/>
      <c r="I87" s="4"/>
      <c r="J87" s="4"/>
      <c r="K87" s="4"/>
      <c r="L87" s="4"/>
      <c r="M87" s="12"/>
      <c r="N87" s="12"/>
      <c r="O87" s="12"/>
    </row>
    <row r="88" spans="1:16" s="5" customFormat="1" ht="12.75">
      <c r="A88" s="139">
        <v>1</v>
      </c>
      <c r="B88" s="145" t="s">
        <v>178</v>
      </c>
      <c r="C88" s="145" t="s">
        <v>179</v>
      </c>
      <c r="D88" s="140" t="s">
        <v>16</v>
      </c>
      <c r="E88" s="141">
        <f>SUM(F88:O88)-SMALL(F88:O88,2)-MIN(F88:O88)</f>
        <v>100</v>
      </c>
      <c r="F88" s="296">
        <f>_xlfn.IFERROR(VLOOKUP($P88,'Rd1 Broadford'!$C$2:$AC$17,17,0),0)</f>
        <v>0</v>
      </c>
      <c r="G88" s="142">
        <f>_xlfn.IFERROR(VLOOKUP($P88,'Rd2 Winton'!$C$2:$AD$21,20,0),0)</f>
        <v>0</v>
      </c>
      <c r="H88" s="142">
        <f>_xlfn.IFERROR(VLOOKUP($P88,'Rd3 Winton'!$C$2:$AC$13,17,0),0)</f>
        <v>100</v>
      </c>
      <c r="I88" s="142">
        <f>_xlfn.IFERROR(VLOOKUP($P88,'Rd4 Sandown'!$C$2:$AC$24,17,0),0)</f>
        <v>0</v>
      </c>
      <c r="J88" s="142">
        <f>_xlfn.IFERROR(VLOOKUP($P88,'Rd5 Sandown'!$C$2:$AC$20,17,0),0)</f>
        <v>0</v>
      </c>
      <c r="K88" s="142">
        <v>0</v>
      </c>
      <c r="L88" s="142">
        <v>0</v>
      </c>
      <c r="M88" s="143">
        <v>0</v>
      </c>
      <c r="N88" s="143">
        <v>0</v>
      </c>
      <c r="O88" s="143">
        <v>0</v>
      </c>
      <c r="P88" s="5" t="str">
        <f>CONCATENATE(LOWER(B88)," ",LOWER(C88))</f>
        <v>dean watchorn</v>
      </c>
    </row>
    <row r="89" spans="1:16" s="5" customFormat="1" ht="12.75">
      <c r="A89" s="139">
        <v>2</v>
      </c>
      <c r="B89" s="145"/>
      <c r="C89" s="145"/>
      <c r="D89" s="140" t="s">
        <v>16</v>
      </c>
      <c r="E89" s="144">
        <f>SUM(F89:O89)-SMALL(F89:O89,2)-MIN(F89:O89)</f>
        <v>0</v>
      </c>
      <c r="F89" s="296">
        <f>_xlfn.IFERROR(VLOOKUP($P89,'Rd1 Broadford'!$C$2:$AC$17,17,0),0)</f>
        <v>0</v>
      </c>
      <c r="G89" s="142">
        <f>_xlfn.IFERROR(VLOOKUP($P89,'Rd2 Winton'!$C$2:$AD$21,20,0),0)</f>
        <v>0</v>
      </c>
      <c r="H89" s="142">
        <f>_xlfn.IFERROR(VLOOKUP($P89,'Rd3 Winton'!$C$2:$AC$13,17,0),0)</f>
        <v>0</v>
      </c>
      <c r="I89" s="142">
        <f>_xlfn.IFERROR(VLOOKUP($P89,'Rd4 Sandown'!$C$2:$AC$24,17,0),0)</f>
        <v>0</v>
      </c>
      <c r="J89" s="142">
        <f>_xlfn.IFERROR(VLOOKUP($P89,'Rd5 Sandown'!$C$2:$AC$20,17,0),0)</f>
        <v>0</v>
      </c>
      <c r="K89" s="142">
        <v>0</v>
      </c>
      <c r="L89" s="142">
        <v>0</v>
      </c>
      <c r="M89" s="143">
        <v>0</v>
      </c>
      <c r="N89" s="143">
        <v>0</v>
      </c>
      <c r="O89" s="143">
        <v>0</v>
      </c>
      <c r="P89" s="5" t="str">
        <f>CONCATENATE(LOWER(B89)," ",LOWER(C89))</f>
        <v> </v>
      </c>
    </row>
    <row r="90" spans="1:16" s="5" customFormat="1" ht="12.75">
      <c r="A90" s="139">
        <v>3</v>
      </c>
      <c r="B90" s="145"/>
      <c r="C90" s="145"/>
      <c r="D90" s="140" t="s">
        <v>16</v>
      </c>
      <c r="E90" s="144">
        <f>SUM(F90:O90)-SMALL(F90:O90,2)-MIN(F90:O90)</f>
        <v>0</v>
      </c>
      <c r="F90" s="296">
        <f>_xlfn.IFERROR(VLOOKUP($P90,'Rd1 Broadford'!$C$2:$AC$17,17,0),0)</f>
        <v>0</v>
      </c>
      <c r="G90" s="142">
        <f>_xlfn.IFERROR(VLOOKUP($P90,'Rd2 Winton'!$C$2:$AD$21,20,0),0)</f>
        <v>0</v>
      </c>
      <c r="H90" s="142">
        <f>_xlfn.IFERROR(VLOOKUP($P90,'Rd3 Winton'!$C$2:$AC$13,17,0),0)</f>
        <v>0</v>
      </c>
      <c r="I90" s="142">
        <f>_xlfn.IFERROR(VLOOKUP($P90,'Rd4 Sandown'!$C$2:$AC$24,17,0),0)</f>
        <v>0</v>
      </c>
      <c r="J90" s="142">
        <f>_xlfn.IFERROR(VLOOKUP($P90,'Rd5 Sandown'!$C$2:$AC$20,17,0),0)</f>
        <v>0</v>
      </c>
      <c r="K90" s="142">
        <v>0</v>
      </c>
      <c r="L90" s="142">
        <v>0</v>
      </c>
      <c r="M90" s="143">
        <v>0</v>
      </c>
      <c r="N90" s="143">
        <v>0</v>
      </c>
      <c r="O90" s="143">
        <v>0</v>
      </c>
      <c r="P90" s="5" t="str">
        <f>CONCATENATE(LOWER(B90)," ",LOWER(C90))</f>
        <v> </v>
      </c>
    </row>
    <row r="91" spans="1:16" s="5" customFormat="1" ht="12.75">
      <c r="A91" s="139">
        <v>4</v>
      </c>
      <c r="B91" s="145"/>
      <c r="C91" s="145"/>
      <c r="D91" s="140" t="s">
        <v>16</v>
      </c>
      <c r="E91" s="144">
        <f>SUM(F91:O91)-SMALL(F91:O91,2)-MIN(F91:O91)</f>
        <v>0</v>
      </c>
      <c r="F91" s="296">
        <f>_xlfn.IFERROR(VLOOKUP($P91,'Rd1 Broadford'!$C$2:$AC$17,17,0),0)</f>
        <v>0</v>
      </c>
      <c r="G91" s="142">
        <f>_xlfn.IFERROR(VLOOKUP($P91,'Rd2 Winton'!$C$2:$AD$21,20,0),0)</f>
        <v>0</v>
      </c>
      <c r="H91" s="142">
        <f>_xlfn.IFERROR(VLOOKUP($P91,'Rd3 Winton'!$C$2:$AC$13,17,0),0)</f>
        <v>0</v>
      </c>
      <c r="I91" s="142">
        <f>_xlfn.IFERROR(VLOOKUP($P91,'Rd4 Sandown'!$C$2:$AC$24,17,0),0)</f>
        <v>0</v>
      </c>
      <c r="J91" s="142">
        <f>_xlfn.IFERROR(VLOOKUP($P91,'Rd5 Sandown'!$C$2:$AC$20,17,0),0)</f>
        <v>0</v>
      </c>
      <c r="K91" s="142">
        <v>0</v>
      </c>
      <c r="L91" s="142">
        <v>0</v>
      </c>
      <c r="M91" s="143">
        <v>0</v>
      </c>
      <c r="N91" s="143">
        <v>0</v>
      </c>
      <c r="O91" s="143">
        <v>0</v>
      </c>
      <c r="P91" s="5" t="str">
        <f>CONCATENATE(LOWER(B91)," ",LOWER(C91))</f>
        <v> </v>
      </c>
    </row>
    <row r="92" spans="1:16" s="5" customFormat="1" ht="13.5" thickBot="1">
      <c r="A92" s="139">
        <v>5</v>
      </c>
      <c r="B92" s="146"/>
      <c r="C92" s="146"/>
      <c r="D92" s="140" t="s">
        <v>16</v>
      </c>
      <c r="E92" s="147">
        <f>SUM(F92:O92)-SMALL(F92:O92,2)-MIN(F92:O92)</f>
        <v>0</v>
      </c>
      <c r="F92" s="296">
        <f>_xlfn.IFERROR(VLOOKUP($P92,'Rd1 Broadford'!$C$2:$AC$17,17,0),0)</f>
        <v>0</v>
      </c>
      <c r="G92" s="142">
        <f>_xlfn.IFERROR(VLOOKUP($P92,'Rd2 Winton'!$C$2:$AD$21,20,0),0)</f>
        <v>0</v>
      </c>
      <c r="H92" s="142">
        <f>_xlfn.IFERROR(VLOOKUP($P92,'Rd3 Winton'!$C$2:$AC$13,17,0),0)</f>
        <v>0</v>
      </c>
      <c r="I92" s="142">
        <f>_xlfn.IFERROR(VLOOKUP($P92,'Rd4 Sandown'!$C$2:$AC$24,17,0),0)</f>
        <v>0</v>
      </c>
      <c r="J92" s="142">
        <f>_xlfn.IFERROR(VLOOKUP($P92,'Rd5 Sandown'!$C$2:$AC$20,17,0),0)</f>
        <v>0</v>
      </c>
      <c r="K92" s="142">
        <v>0</v>
      </c>
      <c r="L92" s="142">
        <v>0</v>
      </c>
      <c r="M92" s="143">
        <v>0</v>
      </c>
      <c r="N92" s="143">
        <v>0</v>
      </c>
      <c r="O92" s="143">
        <v>0</v>
      </c>
      <c r="P92" s="5" t="str">
        <f>CONCATENATE(LOWER(B92)," ",LOWER(C92))</f>
        <v> </v>
      </c>
    </row>
    <row r="93" spans="1:17" ht="12.75">
      <c r="A93" s="3"/>
      <c r="B93" s="22"/>
      <c r="C93" s="22"/>
      <c r="D93" s="23"/>
      <c r="E93" s="24"/>
      <c r="F93" s="4"/>
      <c r="G93" s="23"/>
      <c r="H93" s="23"/>
      <c r="I93" s="23"/>
      <c r="J93" s="4"/>
      <c r="K93" s="4"/>
      <c r="L93" s="4"/>
      <c r="M93" s="12"/>
      <c r="N93" s="12"/>
      <c r="O93" s="12"/>
      <c r="P93" s="14"/>
      <c r="Q93" s="15"/>
    </row>
    <row r="94" spans="1:15" s="5" customFormat="1" ht="13.5" thickBot="1">
      <c r="A94" s="91" t="s">
        <v>11</v>
      </c>
      <c r="B94" s="74"/>
      <c r="C94" s="74"/>
      <c r="D94" s="23"/>
      <c r="E94" s="24"/>
      <c r="F94" s="23"/>
      <c r="G94" s="23"/>
      <c r="I94" s="12"/>
      <c r="J94" s="12"/>
      <c r="K94" s="12"/>
      <c r="L94" s="4"/>
      <c r="M94" s="12"/>
      <c r="N94" s="12"/>
      <c r="O94" s="12"/>
    </row>
    <row r="95" spans="1:16" s="5" customFormat="1" ht="12.75">
      <c r="A95" s="80">
        <v>1</v>
      </c>
      <c r="B95" s="78" t="s">
        <v>33</v>
      </c>
      <c r="C95" s="78" t="s">
        <v>34</v>
      </c>
      <c r="D95" s="75" t="s">
        <v>13</v>
      </c>
      <c r="E95" s="108">
        <f>SUM(F95:O95)-SMALL(F95:O95,2)-MIN(F95:O95)</f>
        <v>200</v>
      </c>
      <c r="F95" s="263">
        <f>_xlfn.IFERROR(VLOOKUP($P95,'Rd1 Broadford'!$C$2:$AC$17,17,0),0)</f>
        <v>100</v>
      </c>
      <c r="G95" s="76">
        <f>_xlfn.IFERROR(VLOOKUP($P95,'Rd2 Winton'!$C$2:$AD$21,20,0),0)</f>
        <v>0</v>
      </c>
      <c r="H95" s="76">
        <f>_xlfn.IFERROR(VLOOKUP($P95,'Rd3 Winton'!$C$2:$AC$13,17,0),0)</f>
        <v>100</v>
      </c>
      <c r="I95" s="76">
        <f>_xlfn.IFERROR(VLOOKUP($P95,'Rd4 Sandown'!$C$2:$AC$24,17,0),0)</f>
        <v>0</v>
      </c>
      <c r="J95" s="76">
        <f>_xlfn.IFERROR(VLOOKUP($P95,'Rd5 Sandown'!$C$2:$AC$20,17,0),0)</f>
        <v>0</v>
      </c>
      <c r="K95" s="76">
        <v>0</v>
      </c>
      <c r="L95" s="76">
        <v>0</v>
      </c>
      <c r="M95" s="77">
        <v>0</v>
      </c>
      <c r="N95" s="77">
        <v>0</v>
      </c>
      <c r="O95" s="77">
        <v>0</v>
      </c>
      <c r="P95" s="5" t="str">
        <f>CONCATENATE(LOWER(B95)," ",LOWER(C95))</f>
        <v>tim meaden</v>
      </c>
    </row>
    <row r="96" spans="1:16" s="5" customFormat="1" ht="12.75">
      <c r="A96" s="80">
        <v>2</v>
      </c>
      <c r="B96" s="78" t="s">
        <v>293</v>
      </c>
      <c r="C96" s="78" t="s">
        <v>294</v>
      </c>
      <c r="D96" s="75" t="s">
        <v>13</v>
      </c>
      <c r="E96" s="109">
        <f>SUM(F96:O96)-SMALL(F96:O96,2)-MIN(F96:O96)</f>
        <v>200</v>
      </c>
      <c r="F96" s="263">
        <f>_xlfn.IFERROR(VLOOKUP($P96,'Rd1 Broadford'!$C$2:$AC$17,17,0),0)</f>
        <v>0</v>
      </c>
      <c r="G96" s="76">
        <f>_xlfn.IFERROR(VLOOKUP($P96,'Rd2 Winton'!$C$2:$AD$21,20,0),0)</f>
        <v>0</v>
      </c>
      <c r="H96" s="76">
        <f>_xlfn.IFERROR(VLOOKUP($P96,'Rd3 Winton'!$C$2:$AC$13,17,0),0)</f>
        <v>0</v>
      </c>
      <c r="I96" s="76">
        <f>_xlfn.IFERROR(VLOOKUP($P96,'Rd4 Sandown'!$C$2:$AC$24,17,0),0)</f>
        <v>100</v>
      </c>
      <c r="J96" s="76">
        <f>_xlfn.IFERROR(VLOOKUP($P96,'Rd5 Sandown'!$C$2:$AC$20,17,0),0)</f>
        <v>100</v>
      </c>
      <c r="K96" s="76">
        <v>0</v>
      </c>
      <c r="L96" s="76">
        <v>0</v>
      </c>
      <c r="M96" s="77">
        <v>0</v>
      </c>
      <c r="N96" s="77">
        <v>0</v>
      </c>
      <c r="O96" s="77">
        <v>0</v>
      </c>
      <c r="P96" s="5" t="str">
        <f>CONCATENATE(LOWER(B96)," ",LOWER(C96))</f>
        <v>paul ledwith</v>
      </c>
    </row>
    <row r="97" spans="1:17" ht="12.75">
      <c r="A97" s="80">
        <v>3</v>
      </c>
      <c r="B97" s="78"/>
      <c r="C97" s="78"/>
      <c r="D97" s="75" t="s">
        <v>13</v>
      </c>
      <c r="E97" s="109">
        <f>SUM(F97:O97)-SMALL(F97:O97,2)-MIN(F97:O97)</f>
        <v>0</v>
      </c>
      <c r="F97" s="263">
        <f>_xlfn.IFERROR(VLOOKUP($P97,'Rd1 Broadford'!$C$2:$AC$17,17,0),0)</f>
        <v>0</v>
      </c>
      <c r="G97" s="76">
        <f>_xlfn.IFERROR(VLOOKUP($P97,'Rd2 Winton'!$C$2:$AD$21,20,0),0)</f>
        <v>0</v>
      </c>
      <c r="H97" s="76">
        <f>_xlfn.IFERROR(VLOOKUP($P97,'Rd3 Winton'!$C$2:$AC$13,17,0),0)</f>
        <v>0</v>
      </c>
      <c r="I97" s="76">
        <f>_xlfn.IFERROR(VLOOKUP($P97,'Rd4 Sandown'!$C$2:$AC$24,17,0),0)</f>
        <v>0</v>
      </c>
      <c r="J97" s="76">
        <f>_xlfn.IFERROR(VLOOKUP($P97,'Rd5 Sandown'!$C$2:$AC$20,17,0),0)</f>
        <v>0</v>
      </c>
      <c r="K97" s="76">
        <v>0</v>
      </c>
      <c r="L97" s="76">
        <v>0</v>
      </c>
      <c r="M97" s="77">
        <v>0</v>
      </c>
      <c r="N97" s="77">
        <v>0</v>
      </c>
      <c r="O97" s="77">
        <v>0</v>
      </c>
      <c r="P97" s="5" t="str">
        <f>CONCATENATE(LOWER(B97)," ",LOWER(C97))</f>
        <v> </v>
      </c>
      <c r="Q97" s="15"/>
    </row>
    <row r="98" spans="1:17" ht="12.75">
      <c r="A98" s="81">
        <v>4</v>
      </c>
      <c r="B98" s="74"/>
      <c r="C98" s="74"/>
      <c r="D98" s="75" t="s">
        <v>13</v>
      </c>
      <c r="E98" s="109">
        <f>SUM(F98:O98)-SMALL(F98:O98,2)-MIN(F98:O98)</f>
        <v>0</v>
      </c>
      <c r="F98" s="263">
        <f>_xlfn.IFERROR(VLOOKUP($P98,'Rd1 Broadford'!$C$2:$AC$17,17,0),0)</f>
        <v>0</v>
      </c>
      <c r="G98" s="76">
        <f>_xlfn.IFERROR(VLOOKUP($P98,'Rd2 Winton'!$C$2:$AD$21,20,0),0)</f>
        <v>0</v>
      </c>
      <c r="H98" s="76">
        <f>_xlfn.IFERROR(VLOOKUP($P98,'Rd3 Winton'!$C$2:$AC$13,17,0),0)</f>
        <v>0</v>
      </c>
      <c r="I98" s="76">
        <f>_xlfn.IFERROR(VLOOKUP($P98,'Rd4 Sandown'!$C$2:$AC$24,17,0),0)</f>
        <v>0</v>
      </c>
      <c r="J98" s="76">
        <f>_xlfn.IFERROR(VLOOKUP($P98,'Rd5 Sandown'!$C$2:$AC$20,17,0),0)</f>
        <v>0</v>
      </c>
      <c r="K98" s="76">
        <v>0</v>
      </c>
      <c r="L98" s="76">
        <v>0</v>
      </c>
      <c r="M98" s="77">
        <v>0</v>
      </c>
      <c r="N98" s="77">
        <v>0</v>
      </c>
      <c r="O98" s="77">
        <v>0</v>
      </c>
      <c r="P98" s="5" t="str">
        <f>CONCATENATE(LOWER(B98)," ",LOWER(C98))</f>
        <v> </v>
      </c>
      <c r="Q98" s="15"/>
    </row>
    <row r="99" spans="1:17" ht="13.5" thickBot="1">
      <c r="A99" s="81">
        <v>5</v>
      </c>
      <c r="B99" s="73"/>
      <c r="C99" s="73"/>
      <c r="D99" s="75" t="s">
        <v>13</v>
      </c>
      <c r="E99" s="110">
        <f>SUM(F99:O99)-SMALL(F99:O99,2)-MIN(F99:O99)</f>
        <v>0</v>
      </c>
      <c r="F99" s="263">
        <f>_xlfn.IFERROR(VLOOKUP($P99,'Rd1 Broadford'!$C$2:$AC$17,17,0),0)</f>
        <v>0</v>
      </c>
      <c r="G99" s="76">
        <f>_xlfn.IFERROR(VLOOKUP($P99,'Rd2 Winton'!$C$2:$AD$21,20,0),0)</f>
        <v>0</v>
      </c>
      <c r="H99" s="76">
        <f>_xlfn.IFERROR(VLOOKUP($P99,'Rd3 Winton'!$C$2:$AC$13,17,0),0)</f>
        <v>0</v>
      </c>
      <c r="I99" s="76">
        <f>_xlfn.IFERROR(VLOOKUP($P99,'Rd4 Sandown'!$C$2:$AC$24,17,0),0)</f>
        <v>0</v>
      </c>
      <c r="J99" s="76">
        <f>_xlfn.IFERROR(VLOOKUP($P99,'Rd5 Sandown'!$C$2:$AC$20,17,0),0)</f>
        <v>0</v>
      </c>
      <c r="K99" s="76">
        <v>0</v>
      </c>
      <c r="L99" s="76">
        <v>0</v>
      </c>
      <c r="M99" s="77">
        <v>0</v>
      </c>
      <c r="N99" s="77">
        <v>0</v>
      </c>
      <c r="O99" s="77">
        <v>0</v>
      </c>
      <c r="P99" s="5" t="str">
        <f>CONCATENATE(LOWER(B99)," ",LOWER(C99))</f>
        <v> </v>
      </c>
      <c r="Q99" s="15"/>
    </row>
    <row r="100" spans="1:15" ht="12.75">
      <c r="A100" s="29"/>
      <c r="B100" s="11"/>
      <c r="C100" s="11"/>
      <c r="H100" s="1"/>
      <c r="I100" s="12"/>
      <c r="J100" s="12"/>
      <c r="K100" s="12"/>
      <c r="L100" s="12"/>
      <c r="M100" s="12"/>
      <c r="N100" s="12"/>
      <c r="O100" s="12"/>
    </row>
    <row r="101" spans="1:15" s="5" customFormat="1" ht="13.5" thickBot="1">
      <c r="A101" s="66" t="s">
        <v>10</v>
      </c>
      <c r="B101" s="56"/>
      <c r="C101" s="56"/>
      <c r="D101" s="7"/>
      <c r="E101" s="24"/>
      <c r="F101" s="12"/>
      <c r="G101" s="12"/>
      <c r="I101" s="12"/>
      <c r="J101" s="12"/>
      <c r="K101" s="12"/>
      <c r="L101" s="12"/>
      <c r="M101" s="12"/>
      <c r="N101" s="12"/>
      <c r="O101" s="12"/>
    </row>
    <row r="102" spans="1:16" s="5" customFormat="1" ht="12.75">
      <c r="A102" s="67">
        <v>1</v>
      </c>
      <c r="B102" s="133" t="s">
        <v>119</v>
      </c>
      <c r="C102" s="133" t="s">
        <v>120</v>
      </c>
      <c r="D102" s="65" t="s">
        <v>14</v>
      </c>
      <c r="E102" s="111">
        <f>SUM(F102:O102)-SMALL(F102:O102,2)-MIN(F102:O102)</f>
        <v>400</v>
      </c>
      <c r="F102" s="261">
        <f>_xlfn.IFERROR(VLOOKUP($P102,'Rd1 Broadford'!$C$2:$AC$17,17,0),0)</f>
        <v>100</v>
      </c>
      <c r="G102" s="64">
        <f>_xlfn.IFERROR(VLOOKUP($P102,'Rd2 Winton'!$C$2:$AD$21,20,0),0)</f>
        <v>100</v>
      </c>
      <c r="H102" s="64">
        <f>_xlfn.IFERROR(VLOOKUP($P102,'Rd3 Winton'!$C$2:$AC$13,17,0),0)</f>
        <v>0</v>
      </c>
      <c r="I102" s="64">
        <f>_xlfn.IFERROR(VLOOKUP($P102,'Rd4 Sandown'!$C$2:$AC$24,17,0),0)</f>
        <v>100</v>
      </c>
      <c r="J102" s="64">
        <f>_xlfn.IFERROR(VLOOKUP($P102,'Rd5 Sandown'!$C$2:$AC$20,17,0),0)</f>
        <v>100</v>
      </c>
      <c r="K102" s="64">
        <v>0</v>
      </c>
      <c r="L102" s="64">
        <v>0</v>
      </c>
      <c r="M102" s="57">
        <v>0</v>
      </c>
      <c r="N102" s="57">
        <v>0</v>
      </c>
      <c r="O102" s="57">
        <v>0</v>
      </c>
      <c r="P102" s="5" t="str">
        <f>CONCATENATE(LOWER(B102)," ",LOWER(C102))</f>
        <v>dave moore</v>
      </c>
    </row>
    <row r="103" spans="1:16" s="5" customFormat="1" ht="12.75">
      <c r="A103" s="67">
        <v>2</v>
      </c>
      <c r="B103" s="133"/>
      <c r="C103" s="133"/>
      <c r="D103" s="65" t="s">
        <v>14</v>
      </c>
      <c r="E103" s="112">
        <f>SUM(F103:O103)-SMALL(F103:O103,2)-MIN(F103:O103)</f>
        <v>0</v>
      </c>
      <c r="F103" s="261">
        <f>_xlfn.IFERROR(VLOOKUP($P103,'Rd1 Broadford'!$C$2:$AC$17,17,0),0)</f>
        <v>0</v>
      </c>
      <c r="G103" s="64">
        <f>_xlfn.IFERROR(VLOOKUP($P103,'Rd2 Winton'!$C$2:$AD$21,20,0),0)</f>
        <v>0</v>
      </c>
      <c r="H103" s="64">
        <f>_xlfn.IFERROR(VLOOKUP($P103,'Rd3 Winton'!$C$2:$AC$13,17,0),0)</f>
        <v>0</v>
      </c>
      <c r="I103" s="64">
        <f>_xlfn.IFERROR(VLOOKUP($P103,'Rd4 Sandown'!$C$2:$AC$24,17,0),0)</f>
        <v>0</v>
      </c>
      <c r="J103" s="64">
        <f>_xlfn.IFERROR(VLOOKUP($P103,'Rd5 Sandown'!$C$2:$AC$20,17,0),0)</f>
        <v>0</v>
      </c>
      <c r="K103" s="64">
        <v>0</v>
      </c>
      <c r="L103" s="64">
        <v>0</v>
      </c>
      <c r="M103" s="57">
        <v>0</v>
      </c>
      <c r="N103" s="57">
        <v>0</v>
      </c>
      <c r="O103" s="57">
        <v>0</v>
      </c>
      <c r="P103" s="5" t="str">
        <f>CONCATENATE(LOWER(B103)," ",LOWER(C103))</f>
        <v> </v>
      </c>
    </row>
    <row r="104" spans="1:16" s="5" customFormat="1" ht="12.75">
      <c r="A104" s="67">
        <v>3</v>
      </c>
      <c r="B104" s="68"/>
      <c r="C104" s="68"/>
      <c r="D104" s="65" t="s">
        <v>14</v>
      </c>
      <c r="E104" s="112">
        <f>SUM(F104:O104)-SMALL(F104:O104,2)-MIN(F104:O104)</f>
        <v>0</v>
      </c>
      <c r="F104" s="261">
        <f>_xlfn.IFERROR(VLOOKUP($P104,'Rd1 Broadford'!$C$2:$AC$17,17,0),0)</f>
        <v>0</v>
      </c>
      <c r="G104" s="64">
        <f>_xlfn.IFERROR(VLOOKUP($P104,'Rd2 Winton'!$C$2:$AD$21,20,0),0)</f>
        <v>0</v>
      </c>
      <c r="H104" s="64">
        <f>_xlfn.IFERROR(VLOOKUP($P104,'Rd3 Winton'!$C$2:$AC$13,17,0),0)</f>
        <v>0</v>
      </c>
      <c r="I104" s="64">
        <f>_xlfn.IFERROR(VLOOKUP($P104,'Rd4 Sandown'!$C$2:$AC$24,17,0),0)</f>
        <v>0</v>
      </c>
      <c r="J104" s="64">
        <f>_xlfn.IFERROR(VLOOKUP($P104,'Rd5 Sandown'!$C$2:$AC$20,17,0),0)</f>
        <v>0</v>
      </c>
      <c r="K104" s="64">
        <v>0</v>
      </c>
      <c r="L104" s="64">
        <v>0</v>
      </c>
      <c r="M104" s="57">
        <v>0</v>
      </c>
      <c r="N104" s="57">
        <v>0</v>
      </c>
      <c r="O104" s="57">
        <v>0</v>
      </c>
      <c r="P104" s="5" t="str">
        <f>CONCATENATE(LOWER(B104)," ",LOWER(C104))</f>
        <v> </v>
      </c>
    </row>
    <row r="105" spans="1:16" s="5" customFormat="1" ht="12.75">
      <c r="A105" s="67">
        <v>4</v>
      </c>
      <c r="B105" s="68"/>
      <c r="C105" s="68"/>
      <c r="D105" s="65" t="s">
        <v>14</v>
      </c>
      <c r="E105" s="112">
        <f>SUM(F105:O105)-SMALL(F105:O105,2)-MIN(F105:O105)</f>
        <v>0</v>
      </c>
      <c r="F105" s="261">
        <f>_xlfn.IFERROR(VLOOKUP($P105,'Rd1 Broadford'!$C$2:$AC$17,17,0),0)</f>
        <v>0</v>
      </c>
      <c r="G105" s="64">
        <f>_xlfn.IFERROR(VLOOKUP($P105,'Rd2 Winton'!$C$2:$AD$21,20,0),0)</f>
        <v>0</v>
      </c>
      <c r="H105" s="64">
        <f>_xlfn.IFERROR(VLOOKUP($P105,'Rd3 Winton'!$C$2:$AC$13,17,0),0)</f>
        <v>0</v>
      </c>
      <c r="I105" s="64">
        <f>_xlfn.IFERROR(VLOOKUP($P105,'Rd4 Sandown'!$C$2:$AC$24,17,0),0)</f>
        <v>0</v>
      </c>
      <c r="J105" s="64">
        <f>_xlfn.IFERROR(VLOOKUP($P105,'Rd5 Sandown'!$C$2:$AC$20,17,0),0)</f>
        <v>0</v>
      </c>
      <c r="K105" s="64">
        <v>0</v>
      </c>
      <c r="L105" s="64">
        <v>0</v>
      </c>
      <c r="M105" s="57">
        <v>0</v>
      </c>
      <c r="N105" s="57">
        <v>0</v>
      </c>
      <c r="O105" s="57">
        <v>0</v>
      </c>
      <c r="P105" s="5" t="str">
        <f>CONCATENATE(LOWER(B105)," ",LOWER(C105))</f>
        <v> </v>
      </c>
    </row>
    <row r="106" spans="1:16" s="5" customFormat="1" ht="13.5" thickBot="1">
      <c r="A106" s="67">
        <v>5</v>
      </c>
      <c r="B106" s="68"/>
      <c r="C106" s="68"/>
      <c r="D106" s="65" t="s">
        <v>14</v>
      </c>
      <c r="E106" s="113">
        <f>SUM(F106:O106)-SMALL(F106:O106,2)-MIN(F106:O106)</f>
        <v>0</v>
      </c>
      <c r="F106" s="261">
        <f>_xlfn.IFERROR(VLOOKUP($P106,'Rd1 Broadford'!$C$2:$AC$17,17,0),0)</f>
        <v>0</v>
      </c>
      <c r="G106" s="64">
        <f>_xlfn.IFERROR(VLOOKUP($P106,'Rd2 Winton'!$C$2:$AD$21,20,0),0)</f>
        <v>0</v>
      </c>
      <c r="H106" s="64">
        <f>_xlfn.IFERROR(VLOOKUP($P106,'Rd3 Winton'!$C$2:$AC$13,17,0),0)</f>
        <v>0</v>
      </c>
      <c r="I106" s="64">
        <f>_xlfn.IFERROR(VLOOKUP($P106,'Rd4 Sandown'!$C$2:$AC$24,17,0),0)</f>
        <v>0</v>
      </c>
      <c r="J106" s="64">
        <f>_xlfn.IFERROR(VLOOKUP($P106,'Rd5 Sandown'!$C$2:$AC$20,17,0),0)</f>
        <v>0</v>
      </c>
      <c r="K106" s="64">
        <v>0</v>
      </c>
      <c r="L106" s="64">
        <v>0</v>
      </c>
      <c r="M106" s="57">
        <v>0</v>
      </c>
      <c r="N106" s="57">
        <v>0</v>
      </c>
      <c r="O106" s="57">
        <v>0</v>
      </c>
      <c r="P106" s="5" t="str">
        <f>CONCATENATE(LOWER(B106)," ",LOWER(C106))</f>
        <v> </v>
      </c>
    </row>
    <row r="107" spans="2:3" ht="12.75">
      <c r="B107" s="6"/>
      <c r="C107" s="6"/>
    </row>
    <row r="108" ht="12.75">
      <c r="D108" s="17"/>
    </row>
    <row r="109" spans="4:12" ht="12.75">
      <c r="D109" s="28"/>
      <c r="E109" s="24"/>
      <c r="G109" s="20"/>
      <c r="H109" s="20"/>
      <c r="I109" s="20"/>
      <c r="J109" s="2"/>
      <c r="K109" s="20"/>
      <c r="L109" s="20"/>
    </row>
    <row r="110" spans="1:4" ht="12.75">
      <c r="A110" s="29"/>
      <c r="D110" s="17"/>
    </row>
    <row r="111" spans="2:4" ht="12.75">
      <c r="B111" s="21"/>
      <c r="C111" s="21"/>
      <c r="D111" s="17"/>
    </row>
    <row r="112" ht="12.75">
      <c r="D112" s="17"/>
    </row>
    <row r="113" ht="12.75">
      <c r="D113" s="17"/>
    </row>
    <row r="114" spans="2:4" ht="12.75">
      <c r="B114" s="6"/>
      <c r="C114" s="6"/>
      <c r="D114" s="17"/>
    </row>
    <row r="115" spans="1:4" ht="12.75">
      <c r="A115" s="29"/>
      <c r="B115" s="5"/>
      <c r="C115" s="5"/>
      <c r="D115" s="17"/>
    </row>
    <row r="116" spans="1:11" ht="12.75">
      <c r="A116" s="29"/>
      <c r="D116" s="17"/>
      <c r="G116" s="2"/>
      <c r="H116" s="2"/>
      <c r="I116" s="2"/>
      <c r="J116" s="2"/>
      <c r="K116" s="20"/>
    </row>
    <row r="117" spans="1:3" ht="12.75">
      <c r="A117" s="29"/>
      <c r="B117" s="21"/>
      <c r="C117" s="21"/>
    </row>
    <row r="118" spans="1:4" ht="12.75">
      <c r="A118" s="29"/>
      <c r="D118" s="17"/>
    </row>
    <row r="119" ht="12.75">
      <c r="A119" s="29"/>
    </row>
    <row r="120" ht="12.75">
      <c r="D120" s="17"/>
    </row>
    <row r="121" spans="1:4" ht="12.75">
      <c r="A121" s="29"/>
      <c r="D121" s="17"/>
    </row>
    <row r="122" spans="1:5" ht="12.75">
      <c r="A122" s="29"/>
      <c r="D122" s="7"/>
      <c r="E122" s="24"/>
    </row>
    <row r="123" spans="1:4" ht="12.75">
      <c r="A123" s="29"/>
      <c r="D123" s="17"/>
    </row>
    <row r="124" spans="1:5" ht="12.75">
      <c r="A124" s="29"/>
      <c r="D124" s="7"/>
      <c r="E124" s="24"/>
    </row>
    <row r="125" ht="12.75">
      <c r="A125" s="29"/>
    </row>
    <row r="126" ht="12.75">
      <c r="A126" s="29"/>
    </row>
    <row r="127" ht="12.75">
      <c r="A127" s="29"/>
    </row>
    <row r="128" ht="12.75">
      <c r="A128" s="29"/>
    </row>
    <row r="129" spans="1:3" ht="12.75">
      <c r="A129" s="29"/>
      <c r="B129" s="11"/>
      <c r="C129" s="11"/>
    </row>
    <row r="130" spans="1:5" ht="12.75">
      <c r="A130" s="29"/>
      <c r="D130" s="12"/>
      <c r="E130" s="24"/>
    </row>
  </sheetData>
  <sheetProtection/>
  <mergeCells count="1">
    <mergeCell ref="A1:O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G22"/>
  <sheetViews>
    <sheetView zoomScale="90" zoomScaleNormal="90" zoomScalePageLayoutView="0" workbookViewId="0" topLeftCell="A1">
      <selection activeCell="A2" sqref="A2"/>
    </sheetView>
  </sheetViews>
  <sheetFormatPr defaultColWidth="9.140625" defaultRowHeight="12.75"/>
  <cols>
    <col min="1" max="1" width="6.7109375" style="124" customWidth="1"/>
    <col min="2" max="2" width="20.8515625" style="125" bestFit="1" customWidth="1"/>
    <col min="3" max="3" width="20.8515625" style="125" hidden="1" customWidth="1"/>
    <col min="4" max="4" width="7.7109375" style="125" bestFit="1" customWidth="1"/>
    <col min="5" max="5" width="10.140625" style="125" customWidth="1"/>
    <col min="6" max="6" width="14.28125" style="125" bestFit="1" customWidth="1"/>
    <col min="7" max="7" width="8.57421875" style="125" customWidth="1"/>
    <col min="8" max="18" width="7.7109375" style="125" customWidth="1"/>
    <col min="19" max="20" width="6.7109375" style="125" customWidth="1"/>
    <col min="21" max="21" width="8.28125" style="0" customWidth="1"/>
    <col min="22" max="22" width="8.8515625" style="185" customWidth="1"/>
    <col min="23" max="23" width="8.8515625" style="0" customWidth="1"/>
    <col min="24" max="24" width="14.28125" style="125" hidden="1" customWidth="1"/>
    <col min="25" max="27" width="8.8515625" style="125" hidden="1" customWidth="1"/>
    <col min="28" max="28" width="10.8515625" style="125" hidden="1" customWidth="1"/>
    <col min="29" max="29" width="8.8515625" style="0" customWidth="1"/>
    <col min="30" max="31" width="8.8515625" style="125" customWidth="1"/>
    <col min="32" max="32" width="16.7109375" style="125" bestFit="1" customWidth="1"/>
    <col min="33" max="33" width="9.28125" style="125" bestFit="1" customWidth="1"/>
    <col min="34" max="16384" width="8.8515625" style="125" customWidth="1"/>
  </cols>
  <sheetData>
    <row r="1" spans="1:33" s="124" customFormat="1" ht="30" customHeight="1" thickBot="1">
      <c r="A1" s="208" t="s">
        <v>23</v>
      </c>
      <c r="B1" s="202" t="s">
        <v>1</v>
      </c>
      <c r="C1" s="202" t="s">
        <v>1</v>
      </c>
      <c r="D1" s="202" t="s">
        <v>2</v>
      </c>
      <c r="E1" s="209" t="s">
        <v>24</v>
      </c>
      <c r="F1" s="202"/>
      <c r="G1" s="203" t="s">
        <v>25</v>
      </c>
      <c r="H1" s="322" t="s">
        <v>14</v>
      </c>
      <c r="I1" s="323" t="s">
        <v>13</v>
      </c>
      <c r="J1" s="324" t="s">
        <v>16</v>
      </c>
      <c r="K1" s="325" t="s">
        <v>57</v>
      </c>
      <c r="L1" s="326" t="s">
        <v>56</v>
      </c>
      <c r="M1" s="327" t="s">
        <v>21</v>
      </c>
      <c r="N1" s="328" t="s">
        <v>22</v>
      </c>
      <c r="O1" s="329" t="s">
        <v>55</v>
      </c>
      <c r="P1" s="330" t="s">
        <v>4</v>
      </c>
      <c r="Q1" s="331" t="s">
        <v>5</v>
      </c>
      <c r="R1" s="332" t="s">
        <v>3</v>
      </c>
      <c r="S1" s="184" t="s">
        <v>118</v>
      </c>
      <c r="T1" s="343" t="s">
        <v>240</v>
      </c>
      <c r="U1" s="343" t="s">
        <v>95</v>
      </c>
      <c r="V1" s="354" t="s">
        <v>96</v>
      </c>
      <c r="W1" s="344" t="s">
        <v>117</v>
      </c>
      <c r="X1" s="334" t="s">
        <v>238</v>
      </c>
      <c r="Y1" s="334" t="s">
        <v>2</v>
      </c>
      <c r="Z1" s="334" t="s">
        <v>242</v>
      </c>
      <c r="AA1" s="334" t="s">
        <v>234</v>
      </c>
      <c r="AB1" s="334" t="s">
        <v>239</v>
      </c>
      <c r="AC1" s="184" t="s">
        <v>243</v>
      </c>
      <c r="AE1" s="534" t="s">
        <v>260</v>
      </c>
      <c r="AF1" s="534"/>
      <c r="AG1" s="534"/>
    </row>
    <row r="2" spans="1:33" ht="12.75">
      <c r="A2" s="214">
        <v>89</v>
      </c>
      <c r="B2" s="64" t="s">
        <v>99</v>
      </c>
      <c r="C2" s="57" t="str">
        <f aca="true" t="shared" si="0" ref="C2:C17">LOWER(B2)</f>
        <v>dave moore</v>
      </c>
      <c r="D2" s="57" t="s">
        <v>14</v>
      </c>
      <c r="E2" s="215" t="s">
        <v>69</v>
      </c>
      <c r="F2" s="215"/>
      <c r="G2" s="57" t="s">
        <v>70</v>
      </c>
      <c r="H2" s="416">
        <f>IF($D2=H$1,$S2,"")</f>
        <v>100</v>
      </c>
      <c r="I2" s="416">
        <f aca="true" t="shared" si="1" ref="I2:R6">IF($D2=I$1,$S2,"")</f>
      </c>
      <c r="J2" s="416">
        <f t="shared" si="1"/>
      </c>
      <c r="K2" s="416">
        <f t="shared" si="1"/>
      </c>
      <c r="L2" s="416">
        <f t="shared" si="1"/>
      </c>
      <c r="M2" s="416">
        <f t="shared" si="1"/>
      </c>
      <c r="N2" s="416">
        <f t="shared" si="1"/>
      </c>
      <c r="O2" s="416">
        <f t="shared" si="1"/>
      </c>
      <c r="P2" s="416">
        <f t="shared" si="1"/>
      </c>
      <c r="Q2" s="416">
        <f t="shared" si="1"/>
      </c>
      <c r="R2" s="416">
        <f t="shared" si="1"/>
      </c>
      <c r="S2" s="272">
        <f aca="true" t="shared" si="2" ref="S2:S17">_xlfn.IFERROR(VLOOKUP($Z2,Points,2,0),0)</f>
        <v>100</v>
      </c>
      <c r="T2" s="299">
        <f>AB2-S2</f>
        <v>0</v>
      </c>
      <c r="U2" s="380">
        <f>_xlfn.IFERROR(VLOOKUP(D2,BenchmarksRd1,3,0)*86400,"NotSet")</f>
        <v>67.14</v>
      </c>
      <c r="V2" s="381">
        <f>(($E2*86400)-U2)</f>
        <v>0.02199999999999136</v>
      </c>
      <c r="W2" s="243">
        <f>IF(V2&lt;=0,10,IF(V2&lt;1,5,IF(V2&lt;2,0,IF(V2&lt;3,-5,-10))))</f>
        <v>5</v>
      </c>
      <c r="X2" s="382">
        <f aca="true" t="shared" si="3" ref="X2:X17">_xlfn.IFERROR(VLOOKUP(D2,Class,4,0),"n/a")</f>
        <v>7</v>
      </c>
      <c r="Y2" s="382">
        <f aca="true" t="shared" si="4" ref="Y2:Y17">_xlfn.IFERROR(VLOOKUP(D2,Class,3,0),"n/a")</f>
        <v>11</v>
      </c>
      <c r="Z2" s="382">
        <f>IF($Y2="n/a","",_xlfn.IFERROR(COUNTIF($Y$2:$Y2,"="&amp;Y2),""))</f>
        <v>1</v>
      </c>
      <c r="AA2" s="382">
        <f>COUNTIF($X1:X$2,"&lt;"&amp;X2)</f>
        <v>0</v>
      </c>
      <c r="AB2" s="414">
        <f aca="true" t="shared" si="5" ref="AB2:AB17">IF($Y2="n/a",0,_xlfn.IFERROR(VLOOKUP(Z2+AA2,Points,2,0),15))</f>
        <v>100</v>
      </c>
      <c r="AC2" s="370">
        <f aca="true" t="shared" si="6" ref="AC2:AC17">(S2+T2+W2)</f>
        <v>105</v>
      </c>
      <c r="AE2" s="430" t="s">
        <v>3</v>
      </c>
      <c r="AF2" s="425" t="s">
        <v>161</v>
      </c>
      <c r="AG2" s="451">
        <v>0.0011239236111111111</v>
      </c>
    </row>
    <row r="3" spans="1:33" ht="12.75">
      <c r="A3" s="127">
        <v>555</v>
      </c>
      <c r="B3" s="76" t="s">
        <v>100</v>
      </c>
      <c r="C3" s="77" t="str">
        <f t="shared" si="0"/>
        <v>tim meaden</v>
      </c>
      <c r="D3" s="77" t="s">
        <v>13</v>
      </c>
      <c r="E3" s="128" t="s">
        <v>71</v>
      </c>
      <c r="F3" s="128"/>
      <c r="G3" s="77" t="s">
        <v>28</v>
      </c>
      <c r="H3" s="79">
        <f>IF($D3=H$1,$S3,"")</f>
      </c>
      <c r="I3" s="79">
        <f t="shared" si="1"/>
        <v>100</v>
      </c>
      <c r="J3" s="79">
        <f t="shared" si="1"/>
      </c>
      <c r="K3" s="79">
        <f t="shared" si="1"/>
      </c>
      <c r="L3" s="79">
        <f t="shared" si="1"/>
      </c>
      <c r="M3" s="79">
        <f t="shared" si="1"/>
      </c>
      <c r="N3" s="79">
        <f t="shared" si="1"/>
      </c>
      <c r="O3" s="79">
        <f t="shared" si="1"/>
      </c>
      <c r="P3" s="79">
        <f t="shared" si="1"/>
      </c>
      <c r="Q3" s="79">
        <f t="shared" si="1"/>
      </c>
      <c r="R3" s="79">
        <f t="shared" si="1"/>
      </c>
      <c r="S3" s="115">
        <f t="shared" si="2"/>
        <v>100</v>
      </c>
      <c r="T3" s="127">
        <f>AB3-S3</f>
        <v>0</v>
      </c>
      <c r="U3" s="462">
        <f>_xlfn.IFERROR(VLOOKUP(D3,BenchmarksRd1,3,0)*86400,"NotSet")</f>
        <v>66.983</v>
      </c>
      <c r="V3" s="356">
        <f aca="true" t="shared" si="7" ref="V3:V17">(($E3*86400)-U3)</f>
        <v>2.698999999999998</v>
      </c>
      <c r="W3" s="129">
        <f aca="true" t="shared" si="8" ref="W3:W17">IF(V3&lt;=0,10,IF(V3&lt;1,5,IF(V3&lt;2,0,IF(V3&lt;3,-5,-10))))</f>
        <v>-5</v>
      </c>
      <c r="X3" s="335">
        <f t="shared" si="3"/>
        <v>6</v>
      </c>
      <c r="Y3" s="335">
        <f t="shared" si="4"/>
        <v>10</v>
      </c>
      <c r="Z3" s="335">
        <f>IF($Y3="n/a","",_xlfn.IFERROR(COUNTIF($Y$2:$Y3,"="&amp;Y3),""))</f>
        <v>1</v>
      </c>
      <c r="AA3" s="335">
        <f>COUNTIF($X$2:X2,"&lt;"&amp;X3)</f>
        <v>0</v>
      </c>
      <c r="AB3" s="355">
        <f t="shared" si="5"/>
        <v>100</v>
      </c>
      <c r="AC3" s="371">
        <f t="shared" si="6"/>
        <v>95</v>
      </c>
      <c r="AE3" s="432" t="s">
        <v>5</v>
      </c>
      <c r="AF3" s="426" t="s">
        <v>218</v>
      </c>
      <c r="AG3" s="433">
        <v>0.000844699074074074</v>
      </c>
    </row>
    <row r="4" spans="1:33" ht="12.75">
      <c r="A4" s="115">
        <v>50</v>
      </c>
      <c r="B4" s="41" t="s">
        <v>111</v>
      </c>
      <c r="C4" s="37" t="str">
        <f t="shared" si="0"/>
        <v>alan conrad</v>
      </c>
      <c r="D4" s="37" t="s">
        <v>57</v>
      </c>
      <c r="E4" s="188" t="s">
        <v>72</v>
      </c>
      <c r="F4" s="188" t="s">
        <v>97</v>
      </c>
      <c r="G4" s="37" t="s">
        <v>73</v>
      </c>
      <c r="H4" s="419">
        <f>IF($D4=H$1,$S4,"")</f>
      </c>
      <c r="I4" s="419">
        <f t="shared" si="1"/>
      </c>
      <c r="J4" s="419">
        <f t="shared" si="1"/>
      </c>
      <c r="K4" s="419">
        <f t="shared" si="1"/>
        <v>100</v>
      </c>
      <c r="L4" s="419">
        <f t="shared" si="1"/>
      </c>
      <c r="M4" s="419">
        <f t="shared" si="1"/>
      </c>
      <c r="N4" s="419">
        <f t="shared" si="1"/>
      </c>
      <c r="O4" s="419">
        <f t="shared" si="1"/>
      </c>
      <c r="P4" s="419">
        <f t="shared" si="1"/>
      </c>
      <c r="Q4" s="419">
        <f t="shared" si="1"/>
      </c>
      <c r="R4" s="419">
        <f t="shared" si="1"/>
      </c>
      <c r="S4" s="115">
        <f t="shared" si="2"/>
        <v>100</v>
      </c>
      <c r="T4" s="115">
        <f>AB4-S4</f>
        <v>0</v>
      </c>
      <c r="U4" s="373" t="s">
        <v>98</v>
      </c>
      <c r="V4" s="360"/>
      <c r="W4" s="69">
        <v>0</v>
      </c>
      <c r="X4" s="335">
        <f t="shared" si="3"/>
        <v>4</v>
      </c>
      <c r="Y4" s="335">
        <f t="shared" si="4"/>
        <v>8</v>
      </c>
      <c r="Z4" s="335">
        <f>IF($Y4="n/a","",_xlfn.IFERROR(COUNTIF($Y$2:$Y4,"="&amp;Y4),""))</f>
        <v>1</v>
      </c>
      <c r="AA4" s="335">
        <f>COUNTIF($X$2:X3,"&lt;"&amp;X4)</f>
        <v>0</v>
      </c>
      <c r="AB4" s="355">
        <f t="shared" si="5"/>
        <v>100</v>
      </c>
      <c r="AC4" s="371">
        <f t="shared" si="6"/>
        <v>100</v>
      </c>
      <c r="AE4" s="434" t="s">
        <v>4</v>
      </c>
      <c r="AF4" s="161" t="s">
        <v>251</v>
      </c>
      <c r="AG4" s="435">
        <v>0.0008065972222222221</v>
      </c>
    </row>
    <row r="5" spans="1:33" ht="12.75">
      <c r="A5" s="116">
        <v>124</v>
      </c>
      <c r="B5" s="20" t="s">
        <v>101</v>
      </c>
      <c r="C5" s="8" t="str">
        <f t="shared" si="0"/>
        <v>ray monik</v>
      </c>
      <c r="D5" s="8" t="s">
        <v>26</v>
      </c>
      <c r="E5" s="17" t="s">
        <v>74</v>
      </c>
      <c r="F5" s="17"/>
      <c r="G5" s="8" t="s">
        <v>28</v>
      </c>
      <c r="H5" s="417">
        <f>IF($D5=H$1,$S5,"")</f>
      </c>
      <c r="I5" s="417">
        <f t="shared" si="1"/>
      </c>
      <c r="J5" s="417">
        <f t="shared" si="1"/>
      </c>
      <c r="K5" s="417">
        <f t="shared" si="1"/>
      </c>
      <c r="L5" s="417">
        <f t="shared" si="1"/>
      </c>
      <c r="M5" s="417">
        <f t="shared" si="1"/>
      </c>
      <c r="N5" s="417">
        <f t="shared" si="1"/>
      </c>
      <c r="O5" s="417">
        <f t="shared" si="1"/>
      </c>
      <c r="P5" s="417">
        <f t="shared" si="1"/>
      </c>
      <c r="Q5" s="417">
        <f t="shared" si="1"/>
      </c>
      <c r="R5" s="417">
        <f t="shared" si="1"/>
      </c>
      <c r="S5" s="115">
        <f t="shared" si="2"/>
        <v>0</v>
      </c>
      <c r="T5" s="333"/>
      <c r="U5" s="186"/>
      <c r="V5" s="367"/>
      <c r="W5" s="117"/>
      <c r="X5" s="335" t="str">
        <f t="shared" si="3"/>
        <v>n/a</v>
      </c>
      <c r="Y5" s="335" t="str">
        <f t="shared" si="4"/>
        <v>n/a</v>
      </c>
      <c r="Z5" s="335">
        <f>IF($Y5="n/a","",_xlfn.IFERROR(COUNTIF($Y$2:$Y5,"="&amp;Y5),""))</f>
      </c>
      <c r="AA5" s="335">
        <f>COUNTIF($X$2:X4,"&lt;"&amp;X5)</f>
        <v>0</v>
      </c>
      <c r="AB5" s="355">
        <f t="shared" si="5"/>
        <v>0</v>
      </c>
      <c r="AC5" s="371">
        <f t="shared" si="6"/>
        <v>0</v>
      </c>
      <c r="AE5" s="436" t="s">
        <v>55</v>
      </c>
      <c r="AF5" s="153"/>
      <c r="AG5" s="454"/>
    </row>
    <row r="6" spans="1:33" ht="12.75">
      <c r="A6" s="118">
        <v>62</v>
      </c>
      <c r="B6" s="45" t="s">
        <v>102</v>
      </c>
      <c r="C6" s="38" t="str">
        <f t="shared" si="0"/>
        <v>noel heritage</v>
      </c>
      <c r="D6" s="38" t="s">
        <v>21</v>
      </c>
      <c r="E6" s="119" t="s">
        <v>75</v>
      </c>
      <c r="F6" s="119" t="s">
        <v>97</v>
      </c>
      <c r="G6" s="38" t="s">
        <v>28</v>
      </c>
      <c r="H6" s="423">
        <f>IF($D6=H$1,$S6,"")</f>
      </c>
      <c r="I6" s="423">
        <f t="shared" si="1"/>
      </c>
      <c r="J6" s="423">
        <f t="shared" si="1"/>
      </c>
      <c r="K6" s="423">
        <f t="shared" si="1"/>
      </c>
      <c r="L6" s="423">
        <f t="shared" si="1"/>
      </c>
      <c r="M6" s="423">
        <f t="shared" si="1"/>
        <v>100</v>
      </c>
      <c r="N6" s="423">
        <f t="shared" si="1"/>
      </c>
      <c r="O6" s="423">
        <f t="shared" si="1"/>
      </c>
      <c r="P6" s="423">
        <f t="shared" si="1"/>
      </c>
      <c r="Q6" s="423">
        <f t="shared" si="1"/>
      </c>
      <c r="R6" s="423">
        <f t="shared" si="1"/>
      </c>
      <c r="S6" s="115">
        <f t="shared" si="2"/>
        <v>100</v>
      </c>
      <c r="T6" s="118">
        <f>AB6-S6</f>
        <v>0</v>
      </c>
      <c r="U6" s="376">
        <f>_xlfn.IFERROR(VLOOKUP(D6,BenchmarksRd1,3,0)*86400,"NotSet")</f>
        <v>72.31000000000002</v>
      </c>
      <c r="V6" s="364">
        <f t="shared" si="7"/>
        <v>-0.08800000000002228</v>
      </c>
      <c r="W6" s="120">
        <f t="shared" si="8"/>
        <v>10</v>
      </c>
      <c r="X6" s="335">
        <f t="shared" si="3"/>
        <v>2</v>
      </c>
      <c r="Y6" s="335">
        <f t="shared" si="4"/>
        <v>4</v>
      </c>
      <c r="Z6" s="335">
        <f>IF($Y6="n/a","",_xlfn.IFERROR(COUNTIF($Y$2:$Y6,"="&amp;Y6),""))</f>
        <v>1</v>
      </c>
      <c r="AA6" s="335">
        <f>COUNTIF($X$2:X5,"&lt;"&amp;X6)</f>
        <v>0</v>
      </c>
      <c r="AB6" s="355">
        <f t="shared" si="5"/>
        <v>100</v>
      </c>
      <c r="AC6" s="371">
        <f t="shared" si="6"/>
        <v>110</v>
      </c>
      <c r="AE6" s="438" t="s">
        <v>22</v>
      </c>
      <c r="AF6" s="486" t="s">
        <v>253</v>
      </c>
      <c r="AG6" s="487">
        <v>0.0008333101851851852</v>
      </c>
    </row>
    <row r="7" spans="1:33" ht="12.75">
      <c r="A7" s="211">
        <v>26</v>
      </c>
      <c r="B7" s="306" t="s">
        <v>103</v>
      </c>
      <c r="C7" s="235" t="str">
        <f t="shared" si="0"/>
        <v>robert downes</v>
      </c>
      <c r="D7" s="235" t="s">
        <v>22</v>
      </c>
      <c r="E7" s="289" t="s">
        <v>76</v>
      </c>
      <c r="F7" s="289"/>
      <c r="G7" s="235" t="s">
        <v>28</v>
      </c>
      <c r="H7" s="422">
        <f aca="true" t="shared" si="9" ref="H7:R17">IF($D7=H$1,$S7,"")</f>
      </c>
      <c r="I7" s="422">
        <f t="shared" si="9"/>
      </c>
      <c r="J7" s="422">
        <f t="shared" si="9"/>
      </c>
      <c r="K7" s="422">
        <f t="shared" si="9"/>
      </c>
      <c r="L7" s="422">
        <f t="shared" si="9"/>
      </c>
      <c r="M7" s="422">
        <f t="shared" si="9"/>
      </c>
      <c r="N7" s="422">
        <f t="shared" si="9"/>
        <v>100</v>
      </c>
      <c r="O7" s="422">
        <f t="shared" si="9"/>
      </c>
      <c r="P7" s="422">
        <f t="shared" si="9"/>
      </c>
      <c r="Q7" s="422">
        <f t="shared" si="9"/>
      </c>
      <c r="R7" s="422">
        <f t="shared" si="9"/>
      </c>
      <c r="S7" s="115">
        <f t="shared" si="2"/>
        <v>100</v>
      </c>
      <c r="T7" s="287">
        <f>AB7-S7</f>
        <v>0</v>
      </c>
      <c r="U7" s="378">
        <f>_xlfn.IFERROR(VLOOKUP(D7,BenchmarksRd1,3,0)*86400,"NotSet")</f>
        <v>71.998</v>
      </c>
      <c r="V7" s="366">
        <f t="shared" si="7"/>
        <v>1.3259999999999934</v>
      </c>
      <c r="W7" s="236">
        <f t="shared" si="8"/>
        <v>0</v>
      </c>
      <c r="X7" s="335">
        <f t="shared" si="3"/>
        <v>2</v>
      </c>
      <c r="Y7" s="335">
        <f t="shared" si="4"/>
        <v>3</v>
      </c>
      <c r="Z7" s="335">
        <f>IF($Y7="n/a","",_xlfn.IFERROR(COUNTIF($Y$2:$Y7,"="&amp;Y7),""))</f>
        <v>1</v>
      </c>
      <c r="AA7" s="335">
        <f>COUNTIF($X$2:X6,"&lt;"&amp;X7)</f>
        <v>0</v>
      </c>
      <c r="AB7" s="355">
        <f t="shared" si="5"/>
        <v>100</v>
      </c>
      <c r="AC7" s="371">
        <f t="shared" si="6"/>
        <v>100</v>
      </c>
      <c r="AE7" s="440" t="s">
        <v>21</v>
      </c>
      <c r="AF7" s="46" t="s">
        <v>159</v>
      </c>
      <c r="AG7" s="441">
        <v>0.0008369212962962964</v>
      </c>
    </row>
    <row r="8" spans="1:33" ht="12.75">
      <c r="A8" s="121">
        <v>28</v>
      </c>
      <c r="B8" s="58" t="s">
        <v>231</v>
      </c>
      <c r="C8" s="55" t="str">
        <f t="shared" si="0"/>
        <v>ibrahim rafei</v>
      </c>
      <c r="D8" s="55" t="s">
        <v>5</v>
      </c>
      <c r="E8" s="122" t="s">
        <v>77</v>
      </c>
      <c r="F8" s="122"/>
      <c r="G8" s="55" t="s">
        <v>73</v>
      </c>
      <c r="H8" s="424">
        <f t="shared" si="9"/>
      </c>
      <c r="I8" s="424">
        <f t="shared" si="9"/>
      </c>
      <c r="J8" s="424">
        <f t="shared" si="9"/>
      </c>
      <c r="K8" s="424">
        <f t="shared" si="9"/>
      </c>
      <c r="L8" s="424">
        <f t="shared" si="9"/>
      </c>
      <c r="M8" s="424">
        <f t="shared" si="9"/>
      </c>
      <c r="N8" s="424">
        <f t="shared" si="9"/>
      </c>
      <c r="O8" s="424">
        <f t="shared" si="9"/>
      </c>
      <c r="P8" s="424">
        <f t="shared" si="9"/>
      </c>
      <c r="Q8" s="424">
        <f t="shared" si="9"/>
        <v>100</v>
      </c>
      <c r="R8" s="424">
        <f t="shared" si="9"/>
      </c>
      <c r="S8" s="115">
        <f t="shared" si="2"/>
        <v>100</v>
      </c>
      <c r="T8" s="121">
        <f>AB8-S8</f>
        <v>0</v>
      </c>
      <c r="U8" s="377">
        <f>_xlfn.IFERROR(VLOOKUP(D8,BenchmarksRd1,3,0)*86400,"NotSet")</f>
        <v>72.982</v>
      </c>
      <c r="V8" s="369">
        <f t="shared" si="7"/>
        <v>1.1089999999999947</v>
      </c>
      <c r="W8" s="123">
        <f t="shared" si="8"/>
        <v>0</v>
      </c>
      <c r="X8" s="335">
        <f t="shared" si="3"/>
        <v>1</v>
      </c>
      <c r="Y8" s="335">
        <f t="shared" si="4"/>
        <v>2</v>
      </c>
      <c r="Z8" s="335">
        <f>IF($Y8="n/a","",_xlfn.IFERROR(COUNTIF($Y$2:$Y8,"="&amp;Y8),""))</f>
        <v>1</v>
      </c>
      <c r="AA8" s="335">
        <f>COUNTIF($X$2:X7,"&lt;"&amp;X8)</f>
        <v>0</v>
      </c>
      <c r="AB8" s="355">
        <f t="shared" si="5"/>
        <v>100</v>
      </c>
      <c r="AC8" s="371">
        <f t="shared" si="6"/>
        <v>100</v>
      </c>
      <c r="AE8" s="442" t="s">
        <v>56</v>
      </c>
      <c r="AF8" s="345"/>
      <c r="AG8" s="457"/>
    </row>
    <row r="9" spans="1:33" ht="12.75">
      <c r="A9" s="116">
        <v>205</v>
      </c>
      <c r="B9" s="20" t="s">
        <v>104</v>
      </c>
      <c r="C9" s="8" t="str">
        <f t="shared" si="0"/>
        <v>john reid</v>
      </c>
      <c r="D9" s="8" t="s">
        <v>26</v>
      </c>
      <c r="E9" s="17" t="s">
        <v>78</v>
      </c>
      <c r="F9" s="17"/>
      <c r="G9" s="8" t="s">
        <v>79</v>
      </c>
      <c r="H9" s="417">
        <f t="shared" si="9"/>
      </c>
      <c r="I9" s="417">
        <f t="shared" si="9"/>
      </c>
      <c r="J9" s="417">
        <f t="shared" si="9"/>
      </c>
      <c r="K9" s="417">
        <f t="shared" si="9"/>
      </c>
      <c r="L9" s="417">
        <f t="shared" si="9"/>
      </c>
      <c r="M9" s="417">
        <f t="shared" si="9"/>
      </c>
      <c r="N9" s="417">
        <f t="shared" si="9"/>
      </c>
      <c r="O9" s="417">
        <f t="shared" si="9"/>
      </c>
      <c r="P9" s="417">
        <f t="shared" si="9"/>
      </c>
      <c r="Q9" s="417">
        <f t="shared" si="9"/>
      </c>
      <c r="R9" s="417">
        <f t="shared" si="9"/>
      </c>
      <c r="S9" s="115">
        <f t="shared" si="2"/>
        <v>0</v>
      </c>
      <c r="T9" s="333"/>
      <c r="U9" s="186"/>
      <c r="V9" s="367"/>
      <c r="W9" s="117"/>
      <c r="X9" s="335" t="str">
        <f t="shared" si="3"/>
        <v>n/a</v>
      </c>
      <c r="Y9" s="335" t="str">
        <f t="shared" si="4"/>
        <v>n/a</v>
      </c>
      <c r="Z9" s="335">
        <f>IF($Y9="n/a","",_xlfn.IFERROR(COUNTIF($Y$2:$Y9,"="&amp;Y9),""))</f>
      </c>
      <c r="AA9" s="335">
        <f>COUNTIF($X$2:X8,"&lt;"&amp;X9)</f>
        <v>0</v>
      </c>
      <c r="AB9" s="355">
        <f t="shared" si="5"/>
        <v>0</v>
      </c>
      <c r="AC9" s="371">
        <f t="shared" si="6"/>
        <v>0</v>
      </c>
      <c r="AE9" s="443" t="s">
        <v>57</v>
      </c>
      <c r="AF9" s="286"/>
      <c r="AG9" s="458"/>
    </row>
    <row r="10" spans="1:33" ht="12.75">
      <c r="A10" s="121">
        <v>29</v>
      </c>
      <c r="B10" s="58" t="s">
        <v>113</v>
      </c>
      <c r="C10" s="55" t="str">
        <f t="shared" si="0"/>
        <v>steve williamsz</v>
      </c>
      <c r="D10" s="55" t="s">
        <v>5</v>
      </c>
      <c r="E10" s="122" t="s">
        <v>80</v>
      </c>
      <c r="F10" s="122"/>
      <c r="G10" s="55" t="s">
        <v>30</v>
      </c>
      <c r="H10" s="424">
        <f t="shared" si="9"/>
      </c>
      <c r="I10" s="424">
        <f t="shared" si="9"/>
      </c>
      <c r="J10" s="424">
        <f t="shared" si="9"/>
      </c>
      <c r="K10" s="424">
        <f t="shared" si="9"/>
      </c>
      <c r="L10" s="424">
        <f t="shared" si="9"/>
      </c>
      <c r="M10" s="424">
        <f t="shared" si="9"/>
      </c>
      <c r="N10" s="424">
        <f t="shared" si="9"/>
      </c>
      <c r="O10" s="424">
        <f t="shared" si="9"/>
      </c>
      <c r="P10" s="424">
        <f t="shared" si="9"/>
      </c>
      <c r="Q10" s="424">
        <f t="shared" si="9"/>
        <v>75</v>
      </c>
      <c r="R10" s="424">
        <f t="shared" si="9"/>
      </c>
      <c r="S10" s="115">
        <f t="shared" si="2"/>
        <v>75</v>
      </c>
      <c r="T10" s="121">
        <f>AB10-S10</f>
        <v>0</v>
      </c>
      <c r="U10" s="377">
        <f>_xlfn.IFERROR(VLOOKUP(D10,BenchmarksRd1,3,0)*86400,"NotSet")</f>
        <v>72.982</v>
      </c>
      <c r="V10" s="369">
        <f t="shared" si="7"/>
        <v>1.2760000000000105</v>
      </c>
      <c r="W10" s="123">
        <f t="shared" si="8"/>
        <v>0</v>
      </c>
      <c r="X10" s="335">
        <f t="shared" si="3"/>
        <v>1</v>
      </c>
      <c r="Y10" s="335">
        <f t="shared" si="4"/>
        <v>2</v>
      </c>
      <c r="Z10" s="335">
        <f>IF($Y10="n/a","",_xlfn.IFERROR(COUNTIF($Y$2:$Y10,"="&amp;Y10),""))</f>
        <v>2</v>
      </c>
      <c r="AA10" s="335">
        <f>COUNTIF($X$2:X9,"&lt;"&amp;X10)</f>
        <v>0</v>
      </c>
      <c r="AB10" s="355">
        <f t="shared" si="5"/>
        <v>75</v>
      </c>
      <c r="AC10" s="371">
        <f t="shared" si="6"/>
        <v>75</v>
      </c>
      <c r="AE10" s="444" t="s">
        <v>16</v>
      </c>
      <c r="AF10" s="428" t="s">
        <v>256</v>
      </c>
      <c r="AG10" s="445">
        <v>0.0007832523148148149</v>
      </c>
    </row>
    <row r="11" spans="1:33" ht="12.75">
      <c r="A11" s="121">
        <v>77</v>
      </c>
      <c r="B11" s="58" t="s">
        <v>105</v>
      </c>
      <c r="C11" s="55" t="str">
        <f t="shared" si="0"/>
        <v>simeon ouzas</v>
      </c>
      <c r="D11" s="55" t="s">
        <v>5</v>
      </c>
      <c r="E11" s="122" t="s">
        <v>81</v>
      </c>
      <c r="F11" s="122"/>
      <c r="G11" s="55" t="s">
        <v>73</v>
      </c>
      <c r="H11" s="424">
        <f t="shared" si="9"/>
      </c>
      <c r="I11" s="424">
        <f t="shared" si="9"/>
      </c>
      <c r="J11" s="424">
        <f t="shared" si="9"/>
      </c>
      <c r="K11" s="424">
        <f t="shared" si="9"/>
      </c>
      <c r="L11" s="424">
        <f t="shared" si="9"/>
      </c>
      <c r="M11" s="424">
        <f t="shared" si="9"/>
      </c>
      <c r="N11" s="424">
        <f t="shared" si="9"/>
      </c>
      <c r="O11" s="424">
        <f t="shared" si="9"/>
      </c>
      <c r="P11" s="424">
        <f t="shared" si="9"/>
      </c>
      <c r="Q11" s="424">
        <f t="shared" si="9"/>
        <v>60</v>
      </c>
      <c r="R11" s="424">
        <f t="shared" si="9"/>
      </c>
      <c r="S11" s="115">
        <f t="shared" si="2"/>
        <v>60</v>
      </c>
      <c r="T11" s="121">
        <f>AB11-S11</f>
        <v>0</v>
      </c>
      <c r="U11" s="377">
        <f>_xlfn.IFERROR(VLOOKUP(D11,BenchmarksRd1,3,0)*86400,"NotSet")</f>
        <v>72.982</v>
      </c>
      <c r="V11" s="369">
        <f t="shared" si="7"/>
        <v>1.4959999999999951</v>
      </c>
      <c r="W11" s="123">
        <f t="shared" si="8"/>
        <v>0</v>
      </c>
      <c r="X11" s="335">
        <f t="shared" si="3"/>
        <v>1</v>
      </c>
      <c r="Y11" s="335">
        <f t="shared" si="4"/>
        <v>2</v>
      </c>
      <c r="Z11" s="335">
        <f>IF($Y11="n/a","",_xlfn.IFERROR(COUNTIF($Y$2:$Y11,"="&amp;Y11),""))</f>
        <v>3</v>
      </c>
      <c r="AA11" s="335">
        <f>COUNTIF($X$2:X10,"&lt;"&amp;X11)</f>
        <v>0</v>
      </c>
      <c r="AB11" s="355">
        <f t="shared" si="5"/>
        <v>60</v>
      </c>
      <c r="AC11" s="371">
        <f t="shared" si="6"/>
        <v>60</v>
      </c>
      <c r="AE11" s="446" t="s">
        <v>13</v>
      </c>
      <c r="AF11" s="429" t="s">
        <v>257</v>
      </c>
      <c r="AG11" s="447">
        <v>0.0007752662037037037</v>
      </c>
    </row>
    <row r="12" spans="1:33" ht="13.5" thickBot="1">
      <c r="A12" s="118">
        <v>58</v>
      </c>
      <c r="B12" s="45" t="s">
        <v>106</v>
      </c>
      <c r="C12" s="38" t="str">
        <f t="shared" si="0"/>
        <v>murray seymour</v>
      </c>
      <c r="D12" s="38" t="s">
        <v>21</v>
      </c>
      <c r="E12" s="228" t="s">
        <v>82</v>
      </c>
      <c r="F12" s="228"/>
      <c r="G12" s="38" t="s">
        <v>30</v>
      </c>
      <c r="H12" s="423">
        <f t="shared" si="9"/>
      </c>
      <c r="I12" s="423">
        <f t="shared" si="9"/>
      </c>
      <c r="J12" s="423">
        <f t="shared" si="9"/>
      </c>
      <c r="K12" s="423">
        <f t="shared" si="9"/>
      </c>
      <c r="L12" s="423">
        <f t="shared" si="9"/>
      </c>
      <c r="M12" s="423">
        <f t="shared" si="9"/>
        <v>75</v>
      </c>
      <c r="N12" s="423">
        <f t="shared" si="9"/>
      </c>
      <c r="O12" s="423">
        <f t="shared" si="9"/>
      </c>
      <c r="P12" s="423">
        <f t="shared" si="9"/>
      </c>
      <c r="Q12" s="423">
        <f t="shared" si="9"/>
      </c>
      <c r="R12" s="423">
        <f t="shared" si="9"/>
      </c>
      <c r="S12" s="115">
        <f t="shared" si="2"/>
        <v>75</v>
      </c>
      <c r="T12" s="118">
        <f>AB12-S12</f>
        <v>-45</v>
      </c>
      <c r="U12" s="376">
        <f>_xlfn.IFERROR(VLOOKUP(D12,BenchmarksRd1,3,0)*86400,"NotSet")</f>
        <v>72.31000000000002</v>
      </c>
      <c r="V12" s="364">
        <f t="shared" si="7"/>
        <v>2.1899999999999977</v>
      </c>
      <c r="W12" s="120">
        <f t="shared" si="8"/>
        <v>-5</v>
      </c>
      <c r="X12" s="335">
        <f t="shared" si="3"/>
        <v>2</v>
      </c>
      <c r="Y12" s="335">
        <f t="shared" si="4"/>
        <v>4</v>
      </c>
      <c r="Z12" s="335">
        <f>IF($Y12="n/a","",_xlfn.IFERROR(COUNTIF($Y$2:$Y12,"="&amp;Y12),""))</f>
        <v>2</v>
      </c>
      <c r="AA12" s="335">
        <f>COUNTIF($X$2:X11,"&lt;"&amp;X12)</f>
        <v>3</v>
      </c>
      <c r="AB12" s="355">
        <f t="shared" si="5"/>
        <v>30</v>
      </c>
      <c r="AC12" s="371">
        <f t="shared" si="6"/>
        <v>25</v>
      </c>
      <c r="AE12" s="448" t="s">
        <v>14</v>
      </c>
      <c r="AF12" s="449" t="s">
        <v>257</v>
      </c>
      <c r="AG12" s="450">
        <v>0.0007770833333333333</v>
      </c>
    </row>
    <row r="13" spans="1:29" ht="12.75">
      <c r="A13" s="121">
        <v>128</v>
      </c>
      <c r="B13" s="58" t="s">
        <v>232</v>
      </c>
      <c r="C13" s="55" t="str">
        <f t="shared" si="0"/>
        <v>allison rafei</v>
      </c>
      <c r="D13" s="55" t="s">
        <v>5</v>
      </c>
      <c r="E13" s="122" t="s">
        <v>83</v>
      </c>
      <c r="F13" s="122"/>
      <c r="G13" s="55" t="s">
        <v>84</v>
      </c>
      <c r="H13" s="424">
        <f t="shared" si="9"/>
      </c>
      <c r="I13" s="424">
        <f t="shared" si="9"/>
      </c>
      <c r="J13" s="424">
        <f t="shared" si="9"/>
      </c>
      <c r="K13" s="424">
        <f t="shared" si="9"/>
      </c>
      <c r="L13" s="424">
        <f t="shared" si="9"/>
      </c>
      <c r="M13" s="424">
        <f t="shared" si="9"/>
      </c>
      <c r="N13" s="424">
        <f t="shared" si="9"/>
      </c>
      <c r="O13" s="424">
        <f t="shared" si="9"/>
      </c>
      <c r="P13" s="424">
        <f t="shared" si="9"/>
      </c>
      <c r="Q13" s="424">
        <f t="shared" si="9"/>
        <v>45</v>
      </c>
      <c r="R13" s="424">
        <f t="shared" si="9"/>
      </c>
      <c r="S13" s="115">
        <f t="shared" si="2"/>
        <v>45</v>
      </c>
      <c r="T13" s="121">
        <f>AB13-S13</f>
        <v>0</v>
      </c>
      <c r="U13" s="377">
        <f>_xlfn.IFERROR(VLOOKUP(D13,BenchmarksRd1,3,0)*86400,"NotSet")</f>
        <v>72.982</v>
      </c>
      <c r="V13" s="369">
        <f t="shared" si="7"/>
        <v>2.6809999999999974</v>
      </c>
      <c r="W13" s="123">
        <f t="shared" si="8"/>
        <v>-5</v>
      </c>
      <c r="X13" s="335">
        <f t="shared" si="3"/>
        <v>1</v>
      </c>
      <c r="Y13" s="335">
        <f t="shared" si="4"/>
        <v>2</v>
      </c>
      <c r="Z13" s="335">
        <f>IF($Y13="n/a","",_xlfn.IFERROR(COUNTIF($Y$2:$Y13,"="&amp;Y13),""))</f>
        <v>4</v>
      </c>
      <c r="AA13" s="335">
        <f>COUNTIF($X$2:X12,"&lt;"&amp;X13)</f>
        <v>0</v>
      </c>
      <c r="AB13" s="355">
        <f t="shared" si="5"/>
        <v>45</v>
      </c>
      <c r="AC13" s="371">
        <f t="shared" si="6"/>
        <v>40</v>
      </c>
    </row>
    <row r="14" spans="1:29" ht="12.75">
      <c r="A14" s="116">
        <v>73</v>
      </c>
      <c r="B14" s="20" t="s">
        <v>107</v>
      </c>
      <c r="C14" s="8" t="str">
        <f t="shared" si="0"/>
        <v>jarrah pitt</v>
      </c>
      <c r="D14" s="8" t="s">
        <v>26</v>
      </c>
      <c r="E14" s="17" t="s">
        <v>85</v>
      </c>
      <c r="F14" s="17"/>
      <c r="G14" s="8" t="s">
        <v>27</v>
      </c>
      <c r="H14" s="417">
        <f t="shared" si="9"/>
      </c>
      <c r="I14" s="417">
        <f t="shared" si="9"/>
      </c>
      <c r="J14" s="417">
        <f t="shared" si="9"/>
      </c>
      <c r="K14" s="417">
        <f t="shared" si="9"/>
      </c>
      <c r="L14" s="417">
        <f t="shared" si="9"/>
      </c>
      <c r="M14" s="417">
        <f t="shared" si="9"/>
      </c>
      <c r="N14" s="417">
        <f t="shared" si="9"/>
      </c>
      <c r="O14" s="417">
        <f t="shared" si="9"/>
      </c>
      <c r="P14" s="417">
        <f t="shared" si="9"/>
      </c>
      <c r="Q14" s="417">
        <f t="shared" si="9"/>
      </c>
      <c r="R14" s="417">
        <f t="shared" si="9"/>
      </c>
      <c r="S14" s="115">
        <f t="shared" si="2"/>
        <v>0</v>
      </c>
      <c r="T14" s="333"/>
      <c r="U14" s="186"/>
      <c r="V14" s="367"/>
      <c r="W14" s="117"/>
      <c r="X14" s="335" t="str">
        <f t="shared" si="3"/>
        <v>n/a</v>
      </c>
      <c r="Y14" s="335" t="str">
        <f t="shared" si="4"/>
        <v>n/a</v>
      </c>
      <c r="Z14" s="335">
        <f>IF($Y14="n/a","",_xlfn.IFERROR(COUNTIF($Y$2:$Y14,"="&amp;Y14),""))</f>
      </c>
      <c r="AA14" s="335">
        <f>COUNTIF($X$2:X13,"&lt;"&amp;X14)</f>
        <v>0</v>
      </c>
      <c r="AB14" s="355">
        <f t="shared" si="5"/>
        <v>0</v>
      </c>
      <c r="AC14" s="371">
        <f t="shared" si="6"/>
        <v>0</v>
      </c>
    </row>
    <row r="15" spans="1:29" ht="12.75">
      <c r="A15" s="121">
        <v>59</v>
      </c>
      <c r="B15" s="58" t="s">
        <v>108</v>
      </c>
      <c r="C15" s="55" t="str">
        <f t="shared" si="0"/>
        <v>gareth pedley</v>
      </c>
      <c r="D15" s="55" t="s">
        <v>5</v>
      </c>
      <c r="E15" s="122" t="s">
        <v>86</v>
      </c>
      <c r="F15" s="122"/>
      <c r="G15" s="55" t="s">
        <v>87</v>
      </c>
      <c r="H15" s="424">
        <f t="shared" si="9"/>
      </c>
      <c r="I15" s="424">
        <f t="shared" si="9"/>
      </c>
      <c r="J15" s="424">
        <f t="shared" si="9"/>
      </c>
      <c r="K15" s="424">
        <f t="shared" si="9"/>
      </c>
      <c r="L15" s="424">
        <f t="shared" si="9"/>
      </c>
      <c r="M15" s="424">
        <f t="shared" si="9"/>
      </c>
      <c r="N15" s="424">
        <f t="shared" si="9"/>
      </c>
      <c r="O15" s="424">
        <f t="shared" si="9"/>
      </c>
      <c r="P15" s="424">
        <f t="shared" si="9"/>
      </c>
      <c r="Q15" s="424">
        <f t="shared" si="9"/>
        <v>30</v>
      </c>
      <c r="R15" s="424">
        <f t="shared" si="9"/>
      </c>
      <c r="S15" s="115">
        <f t="shared" si="2"/>
        <v>30</v>
      </c>
      <c r="T15" s="121">
        <f>AB15-S15</f>
        <v>0</v>
      </c>
      <c r="U15" s="377">
        <f>_xlfn.IFERROR(VLOOKUP(D15,BenchmarksRd1,3,0)*86400,"NotSet")</f>
        <v>72.982</v>
      </c>
      <c r="V15" s="369">
        <f t="shared" si="7"/>
        <v>3.410000000000011</v>
      </c>
      <c r="W15" s="123">
        <f t="shared" si="8"/>
        <v>-10</v>
      </c>
      <c r="X15" s="335">
        <f t="shared" si="3"/>
        <v>1</v>
      </c>
      <c r="Y15" s="335">
        <f t="shared" si="4"/>
        <v>2</v>
      </c>
      <c r="Z15" s="335">
        <f>IF($Y15="n/a","",_xlfn.IFERROR(COUNTIF($Y$2:$Y15,"="&amp;Y15),""))</f>
        <v>5</v>
      </c>
      <c r="AA15" s="335">
        <f>COUNTIF($X$2:X14,"&lt;"&amp;X15)</f>
        <v>0</v>
      </c>
      <c r="AB15" s="355">
        <f t="shared" si="5"/>
        <v>30</v>
      </c>
      <c r="AC15" s="371">
        <f t="shared" si="6"/>
        <v>20</v>
      </c>
    </row>
    <row r="16" spans="1:29" ht="12.75">
      <c r="A16" s="116">
        <v>19</v>
      </c>
      <c r="B16" s="20" t="s">
        <v>109</v>
      </c>
      <c r="C16" s="8" t="str">
        <f t="shared" si="0"/>
        <v>ajith perera</v>
      </c>
      <c r="D16" s="8" t="s">
        <v>26</v>
      </c>
      <c r="E16" s="17" t="s">
        <v>88</v>
      </c>
      <c r="F16" s="17"/>
      <c r="G16" s="8" t="s">
        <v>84</v>
      </c>
      <c r="H16" s="417">
        <f t="shared" si="9"/>
      </c>
      <c r="I16" s="417">
        <f t="shared" si="9"/>
      </c>
      <c r="J16" s="417">
        <f t="shared" si="9"/>
      </c>
      <c r="K16" s="417">
        <f t="shared" si="9"/>
      </c>
      <c r="L16" s="417">
        <f t="shared" si="9"/>
      </c>
      <c r="M16" s="417">
        <f t="shared" si="9"/>
      </c>
      <c r="N16" s="417">
        <f t="shared" si="9"/>
      </c>
      <c r="O16" s="417">
        <f t="shared" si="9"/>
      </c>
      <c r="P16" s="417">
        <f t="shared" si="9"/>
      </c>
      <c r="Q16" s="417">
        <f t="shared" si="9"/>
      </c>
      <c r="R16" s="417">
        <f t="shared" si="9"/>
      </c>
      <c r="S16" s="115">
        <f t="shared" si="2"/>
        <v>0</v>
      </c>
      <c r="T16" s="333"/>
      <c r="U16" s="186"/>
      <c r="V16" s="367"/>
      <c r="W16" s="117"/>
      <c r="X16" s="335" t="str">
        <f t="shared" si="3"/>
        <v>n/a</v>
      </c>
      <c r="Y16" s="335" t="str">
        <f t="shared" si="4"/>
        <v>n/a</v>
      </c>
      <c r="Z16" s="335">
        <f>IF($Y16="n/a","",_xlfn.IFERROR(COUNTIF($Y$2:$Y16,"="&amp;Y16),""))</f>
      </c>
      <c r="AA16" s="335">
        <f>COUNTIF($X$2:X15,"&lt;"&amp;X16)</f>
        <v>0</v>
      </c>
      <c r="AB16" s="355">
        <f t="shared" si="5"/>
        <v>0</v>
      </c>
      <c r="AC16" s="371">
        <f t="shared" si="6"/>
        <v>0</v>
      </c>
    </row>
    <row r="17" spans="1:29" ht="13.5" thickBot="1">
      <c r="A17" s="179">
        <v>78</v>
      </c>
      <c r="B17" s="183" t="s">
        <v>110</v>
      </c>
      <c r="C17" s="180" t="str">
        <f t="shared" si="0"/>
        <v>tony maslen</v>
      </c>
      <c r="D17" s="180" t="s">
        <v>5</v>
      </c>
      <c r="E17" s="181" t="s">
        <v>89</v>
      </c>
      <c r="F17" s="181"/>
      <c r="G17" s="180" t="s">
        <v>87</v>
      </c>
      <c r="H17" s="424">
        <f t="shared" si="9"/>
      </c>
      <c r="I17" s="424">
        <f t="shared" si="9"/>
      </c>
      <c r="J17" s="424">
        <f t="shared" si="9"/>
      </c>
      <c r="K17" s="424">
        <f t="shared" si="9"/>
      </c>
      <c r="L17" s="424">
        <f t="shared" si="9"/>
      </c>
      <c r="M17" s="424">
        <f t="shared" si="9"/>
      </c>
      <c r="N17" s="424">
        <f t="shared" si="9"/>
      </c>
      <c r="O17" s="424">
        <f t="shared" si="9"/>
      </c>
      <c r="P17" s="424">
        <f t="shared" si="9"/>
      </c>
      <c r="Q17" s="424">
        <f t="shared" si="9"/>
        <v>15</v>
      </c>
      <c r="R17" s="424">
        <f t="shared" si="9"/>
      </c>
      <c r="S17" s="115">
        <f t="shared" si="2"/>
        <v>15</v>
      </c>
      <c r="T17" s="179">
        <f>AB17-S17</f>
        <v>0</v>
      </c>
      <c r="U17" s="484">
        <f>_xlfn.IFERROR(VLOOKUP(D17,BenchmarksRd1,3,0)*86400,"NotSet")</f>
        <v>72.982</v>
      </c>
      <c r="V17" s="485">
        <f t="shared" si="7"/>
        <v>6.540999999999997</v>
      </c>
      <c r="W17" s="182">
        <f t="shared" si="8"/>
        <v>-10</v>
      </c>
      <c r="X17" s="335">
        <f t="shared" si="3"/>
        <v>1</v>
      </c>
      <c r="Y17" s="335">
        <f t="shared" si="4"/>
        <v>2</v>
      </c>
      <c r="Z17" s="335">
        <f>IF($Y17="n/a","",_xlfn.IFERROR(COUNTIF($Y$2:$Y17,"="&amp;Y17),""))</f>
        <v>6</v>
      </c>
      <c r="AA17" s="335">
        <f>COUNTIF($X$2:X16,"&lt;"&amp;X17)</f>
        <v>0</v>
      </c>
      <c r="AB17" s="355">
        <f t="shared" si="5"/>
        <v>15</v>
      </c>
      <c r="AC17" s="372">
        <f t="shared" si="6"/>
        <v>5</v>
      </c>
    </row>
    <row r="18" spans="7:29" ht="13.5" thickBot="1">
      <c r="G18" s="205" t="s">
        <v>29</v>
      </c>
      <c r="H18" s="206">
        <f aca="true" t="shared" si="10" ref="H18:S18">COUNT(H2:H17)</f>
        <v>1</v>
      </c>
      <c r="I18" s="206">
        <f t="shared" si="10"/>
        <v>1</v>
      </c>
      <c r="J18" s="206">
        <f t="shared" si="10"/>
        <v>0</v>
      </c>
      <c r="K18" s="206">
        <f t="shared" si="10"/>
        <v>1</v>
      </c>
      <c r="L18" s="206">
        <f t="shared" si="10"/>
        <v>0</v>
      </c>
      <c r="M18" s="206">
        <f t="shared" si="10"/>
        <v>2</v>
      </c>
      <c r="N18" s="206">
        <f t="shared" si="10"/>
        <v>1</v>
      </c>
      <c r="O18" s="206">
        <f t="shared" si="10"/>
        <v>0</v>
      </c>
      <c r="P18" s="206">
        <f t="shared" si="10"/>
        <v>0</v>
      </c>
      <c r="Q18" s="206">
        <f t="shared" si="10"/>
        <v>6</v>
      </c>
      <c r="R18" s="206">
        <f t="shared" si="10"/>
        <v>0</v>
      </c>
      <c r="S18" s="207">
        <f t="shared" si="10"/>
        <v>16</v>
      </c>
      <c r="T18" s="379"/>
      <c r="U18" s="379"/>
      <c r="V18" s="352"/>
      <c r="W18" s="379"/>
      <c r="X18" s="379"/>
      <c r="Y18" s="379"/>
      <c r="Z18" s="379"/>
      <c r="AA18" s="379"/>
      <c r="AB18" s="379"/>
      <c r="AC18" s="379"/>
    </row>
    <row r="19" spans="20:29" ht="12.75">
      <c r="T19" s="8"/>
      <c r="U19" s="1"/>
      <c r="V19" s="352"/>
      <c r="W19" s="1"/>
      <c r="X19" s="8"/>
      <c r="Y19" s="8"/>
      <c r="Z19" s="8"/>
      <c r="AA19" s="8"/>
      <c r="AB19" s="8"/>
      <c r="AC19" s="1"/>
    </row>
    <row r="20" spans="2:28" ht="12.75">
      <c r="B20" s="2"/>
      <c r="C20" s="2"/>
      <c r="D20" s="126"/>
      <c r="T20" s="126"/>
      <c r="X20" s="126"/>
      <c r="Y20" s="126"/>
      <c r="Z20" s="126"/>
      <c r="AA20" s="126"/>
      <c r="AB20" s="126"/>
    </row>
    <row r="22" ht="15">
      <c r="E22" s="178"/>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I25"/>
  <sheetViews>
    <sheetView zoomScale="90" zoomScaleNormal="90" zoomScalePageLayoutView="0" workbookViewId="0" topLeftCell="A1">
      <selection activeCell="A2" sqref="A2"/>
    </sheetView>
  </sheetViews>
  <sheetFormatPr defaultColWidth="9.140625" defaultRowHeight="12.75"/>
  <cols>
    <col min="1" max="1" width="5.8515625" style="124" customWidth="1"/>
    <col min="2" max="2" width="16.421875" style="125" customWidth="1"/>
    <col min="3" max="3" width="20.8515625" style="125" hidden="1" customWidth="1"/>
    <col min="4" max="4" width="7.7109375" style="125" bestFit="1" customWidth="1"/>
    <col min="5" max="5" width="11.28125" style="125" customWidth="1"/>
    <col min="6" max="6" width="11.140625" style="125" customWidth="1"/>
    <col min="7" max="7" width="11.28125" style="125" customWidth="1"/>
    <col min="8" max="8" width="9.28125" style="125" bestFit="1" customWidth="1"/>
    <col min="9" max="19" width="7.7109375" style="125" customWidth="1"/>
    <col min="20" max="20" width="7.57421875" style="0" bestFit="1" customWidth="1"/>
    <col min="21" max="21" width="7.7109375" style="185" bestFit="1" customWidth="1"/>
    <col min="22" max="22" width="6.28125" style="0" customWidth="1"/>
    <col min="23" max="23" width="6.8515625" style="0" customWidth="1"/>
    <col min="24" max="24" width="6.57421875" style="0" bestFit="1" customWidth="1"/>
    <col min="25" max="25" width="14.28125" style="125" hidden="1" customWidth="1"/>
    <col min="26" max="28" width="8.8515625" style="125" hidden="1" customWidth="1"/>
    <col min="29" max="29" width="10.8515625" style="125" hidden="1" customWidth="1"/>
    <col min="30" max="30" width="8.8515625" style="0" customWidth="1"/>
    <col min="31" max="32" width="8.8515625" style="125" customWidth="1"/>
    <col min="33" max="33" width="8.140625" style="125" bestFit="1" customWidth="1"/>
    <col min="34" max="34" width="8.8515625" style="125" customWidth="1"/>
    <col min="35" max="35" width="9.140625" style="125" bestFit="1" customWidth="1"/>
    <col min="36" max="16384" width="8.8515625" style="125" customWidth="1"/>
  </cols>
  <sheetData>
    <row r="1" spans="1:35" s="124" customFormat="1" ht="42.75" customHeight="1" thickBot="1">
      <c r="A1" s="208" t="s">
        <v>23</v>
      </c>
      <c r="B1" s="202" t="s">
        <v>1</v>
      </c>
      <c r="C1" s="202" t="s">
        <v>1</v>
      </c>
      <c r="D1" s="202" t="s">
        <v>2</v>
      </c>
      <c r="E1" s="209" t="s">
        <v>139</v>
      </c>
      <c r="F1" s="209" t="s">
        <v>140</v>
      </c>
      <c r="G1" s="209" t="s">
        <v>141</v>
      </c>
      <c r="H1" s="203" t="s">
        <v>25</v>
      </c>
      <c r="I1" s="204" t="s">
        <v>14</v>
      </c>
      <c r="J1" s="192" t="s">
        <v>13</v>
      </c>
      <c r="K1" s="193" t="s">
        <v>16</v>
      </c>
      <c r="L1" s="194" t="s">
        <v>57</v>
      </c>
      <c r="M1" s="195" t="s">
        <v>56</v>
      </c>
      <c r="N1" s="196" t="s">
        <v>21</v>
      </c>
      <c r="O1" s="197" t="s">
        <v>22</v>
      </c>
      <c r="P1" s="198" t="s">
        <v>55</v>
      </c>
      <c r="Q1" s="199" t="s">
        <v>4</v>
      </c>
      <c r="R1" s="200" t="s">
        <v>5</v>
      </c>
      <c r="S1" s="201" t="s">
        <v>3</v>
      </c>
      <c r="T1" s="498" t="s">
        <v>95</v>
      </c>
      <c r="U1" s="499" t="s">
        <v>96</v>
      </c>
      <c r="V1" s="210" t="s">
        <v>118</v>
      </c>
      <c r="W1" s="189" t="s">
        <v>116</v>
      </c>
      <c r="X1" s="190" t="s">
        <v>117</v>
      </c>
      <c r="Y1" s="334" t="s">
        <v>238</v>
      </c>
      <c r="Z1" s="334" t="s">
        <v>2</v>
      </c>
      <c r="AA1" s="334" t="s">
        <v>242</v>
      </c>
      <c r="AB1" s="334" t="s">
        <v>234</v>
      </c>
      <c r="AC1" s="334" t="s">
        <v>239</v>
      </c>
      <c r="AD1" s="184" t="s">
        <v>243</v>
      </c>
      <c r="AF1" s="535" t="s">
        <v>260</v>
      </c>
      <c r="AG1" s="536"/>
      <c r="AH1" s="536"/>
      <c r="AI1" s="536"/>
    </row>
    <row r="2" spans="1:35" ht="12.75">
      <c r="A2" s="299">
        <v>89</v>
      </c>
      <c r="B2" s="241" t="s">
        <v>99</v>
      </c>
      <c r="C2" s="242" t="str">
        <f aca="true" t="shared" si="0" ref="C2:C20">LOWER(B2)</f>
        <v>dave moore</v>
      </c>
      <c r="D2" s="242" t="s">
        <v>14</v>
      </c>
      <c r="E2" s="250">
        <v>0.0012714814814814815</v>
      </c>
      <c r="F2" s="250">
        <v>0.0008057870370370371</v>
      </c>
      <c r="G2" s="250">
        <f aca="true" t="shared" si="1" ref="G2:G18">E2+F2</f>
        <v>0.0020772685185185187</v>
      </c>
      <c r="H2" s="242" t="s">
        <v>125</v>
      </c>
      <c r="I2" s="242">
        <v>100</v>
      </c>
      <c r="J2" s="242"/>
      <c r="K2" s="242"/>
      <c r="L2" s="242"/>
      <c r="M2" s="242"/>
      <c r="N2" s="242"/>
      <c r="O2" s="242"/>
      <c r="P2" s="242"/>
      <c r="Q2" s="242"/>
      <c r="R2" s="242"/>
      <c r="S2" s="242"/>
      <c r="T2" s="500">
        <f>_xlfn.IFERROR(VLOOKUP(D2,BenchmarksRd2,4,0)*86400,"")</f>
        <v>161.031</v>
      </c>
      <c r="U2" s="501">
        <f>(($G2*86400)-T2)/2</f>
        <v>9.222499999999997</v>
      </c>
      <c r="V2" s="497">
        <f>MAX(I2:S2)</f>
        <v>100</v>
      </c>
      <c r="W2" s="164">
        <v>0</v>
      </c>
      <c r="X2" s="187">
        <f>IF(U2&lt;=0,10,IF(U2&lt;1,5,IF(U2&lt;2,0,IF(U2&lt;3,-5,-10))))</f>
        <v>-10</v>
      </c>
      <c r="Y2" s="382">
        <f>_xlfn.IFERROR(VLOOKUP(D2,Class,4,0),"n/a")</f>
        <v>7</v>
      </c>
      <c r="Z2" s="382">
        <f>_xlfn.IFERROR(VLOOKUP(D2,Class,3,0),"n/a")</f>
        <v>11</v>
      </c>
      <c r="AA2" s="382">
        <f>IF($Z2="n/a","",_xlfn.IFERROR(COUNTIF($Z$2:$Z2,"="&amp;Z2),""))</f>
        <v>1</v>
      </c>
      <c r="AB2" s="382">
        <f>COUNTIF($Y1:Y$2,"&lt;"&amp;Y2)</f>
        <v>0</v>
      </c>
      <c r="AC2" s="414">
        <f aca="true" t="shared" si="2" ref="AC2:AC13">IF($Y2="n/a",0,_xlfn.IFERROR(VLOOKUP(AA2+AB2,Points,2,0),15))</f>
        <v>100</v>
      </c>
      <c r="AD2" s="276">
        <f>(V2+W2+X2)</f>
        <v>90</v>
      </c>
      <c r="AF2" s="430" t="s">
        <v>3</v>
      </c>
      <c r="AG2" s="488">
        <v>0.0012429050925925925</v>
      </c>
      <c r="AH2" s="488">
        <v>0.0008543518518518518</v>
      </c>
      <c r="AI2" s="431">
        <f aca="true" t="shared" si="3" ref="AI2:AI9">((AG2*86400)+(AH2*86400))/86400</f>
        <v>0.0020972569444444446</v>
      </c>
    </row>
    <row r="3" spans="1:35" ht="12.75">
      <c r="A3" s="116">
        <v>724</v>
      </c>
      <c r="B3" s="244" t="s">
        <v>138</v>
      </c>
      <c r="C3" s="12" t="str">
        <f t="shared" si="0"/>
        <v>dean monik</v>
      </c>
      <c r="D3" s="8" t="s">
        <v>26</v>
      </c>
      <c r="E3" s="19">
        <v>0.0012349421296296295</v>
      </c>
      <c r="F3" s="19">
        <v>0.0008440856481481481</v>
      </c>
      <c r="G3" s="19">
        <f t="shared" si="1"/>
        <v>0.0020790277777777777</v>
      </c>
      <c r="H3" s="12" t="s">
        <v>125</v>
      </c>
      <c r="I3" s="12"/>
      <c r="J3" s="12"/>
      <c r="K3" s="12"/>
      <c r="L3" s="12"/>
      <c r="M3" s="12"/>
      <c r="N3" s="12"/>
      <c r="O3" s="12"/>
      <c r="P3" s="12"/>
      <c r="Q3" s="12"/>
      <c r="R3" s="12"/>
      <c r="S3" s="12"/>
      <c r="T3" s="353">
        <f>_xlfn.IFERROR(VLOOKUP(D3,BenchmarksRd2,4,0)*86400,"")</f>
      </c>
      <c r="U3" s="191"/>
      <c r="V3" s="497"/>
      <c r="W3" s="164"/>
      <c r="X3" s="187"/>
      <c r="Y3" s="335" t="str">
        <f>_xlfn.IFERROR(VLOOKUP(D3,Class,4,0),"n/a")</f>
        <v>n/a</v>
      </c>
      <c r="Z3" s="335" t="str">
        <f>_xlfn.IFERROR(VLOOKUP(D3,Class,3,0),"n/a")</f>
        <v>n/a</v>
      </c>
      <c r="AA3" s="335">
        <f>IF($Z3="n/a","",_xlfn.IFERROR(COUNTIF($Z$2:$Z3,"="&amp;Z3),""))</f>
      </c>
      <c r="AB3" s="335">
        <f>COUNTIF($Y$2:Y2,"&lt;"&amp;Y3)</f>
        <v>0</v>
      </c>
      <c r="AC3" s="355">
        <f t="shared" si="2"/>
        <v>0</v>
      </c>
      <c r="AD3" s="69">
        <f>(V3+W3+X3)</f>
        <v>0</v>
      </c>
      <c r="AF3" s="432" t="s">
        <v>5</v>
      </c>
      <c r="AG3" s="489">
        <v>0.001238275462962963</v>
      </c>
      <c r="AH3" s="489">
        <v>0.0008528356481481481</v>
      </c>
      <c r="AI3" s="433">
        <f t="shared" si="3"/>
        <v>0.002091111111111111</v>
      </c>
    </row>
    <row r="4" spans="1:35" ht="12.75">
      <c r="A4" s="115">
        <v>50</v>
      </c>
      <c r="B4" s="130" t="s">
        <v>111</v>
      </c>
      <c r="C4" s="37" t="str">
        <f t="shared" si="0"/>
        <v>alan conrad</v>
      </c>
      <c r="D4" s="37" t="s">
        <v>57</v>
      </c>
      <c r="E4" s="277">
        <v>0.0012725578703703703</v>
      </c>
      <c r="F4" s="277">
        <v>0.000818125</v>
      </c>
      <c r="G4" s="251">
        <f t="shared" si="1"/>
        <v>0.0020906828703703704</v>
      </c>
      <c r="H4" s="37" t="s">
        <v>125</v>
      </c>
      <c r="I4" s="37"/>
      <c r="J4" s="37"/>
      <c r="K4" s="37"/>
      <c r="L4" s="37">
        <v>100</v>
      </c>
      <c r="M4" s="37"/>
      <c r="N4" s="37"/>
      <c r="O4" s="37"/>
      <c r="P4" s="37"/>
      <c r="Q4" s="37"/>
      <c r="R4" s="37"/>
      <c r="S4" s="37"/>
      <c r="T4" s="359" t="s">
        <v>98</v>
      </c>
      <c r="U4" s="503"/>
      <c r="V4" s="497">
        <f>MAX(I4:S4)</f>
        <v>100</v>
      </c>
      <c r="W4" s="164">
        <v>0</v>
      </c>
      <c r="X4" s="187">
        <v>0</v>
      </c>
      <c r="Y4" s="335">
        <f>_xlfn.IFERROR(VLOOKUP(D4,Class,4,0),"n/a")</f>
        <v>4</v>
      </c>
      <c r="Z4" s="335">
        <f>_xlfn.IFERROR(VLOOKUP(D4,Class,3,0),"n/a")</f>
        <v>8</v>
      </c>
      <c r="AA4" s="335">
        <f>IF($Z4="n/a","",_xlfn.IFERROR(COUNTIF($Z$2:$Z4,"="&amp;Z4),""))</f>
        <v>1</v>
      </c>
      <c r="AB4" s="335">
        <f>COUNTIF($Y$2:Y3,"&lt;"&amp;Y4)</f>
        <v>0</v>
      </c>
      <c r="AC4" s="355">
        <f t="shared" si="2"/>
        <v>100</v>
      </c>
      <c r="AD4" s="69">
        <f aca="true" t="shared" si="4" ref="AD4:AD20">(V4+W4+X4)</f>
        <v>100</v>
      </c>
      <c r="AF4" s="434" t="s">
        <v>4</v>
      </c>
      <c r="AG4" s="490">
        <v>0.0011998611111111112</v>
      </c>
      <c r="AH4" s="490">
        <v>0.0008293402777777778</v>
      </c>
      <c r="AI4" s="435">
        <f t="shared" si="3"/>
        <v>0.002029201388888889</v>
      </c>
    </row>
    <row r="5" spans="1:35" ht="12.75">
      <c r="A5" s="287">
        <v>26</v>
      </c>
      <c r="B5" s="245" t="s">
        <v>103</v>
      </c>
      <c r="C5" s="235" t="str">
        <f t="shared" si="0"/>
        <v>robert downes</v>
      </c>
      <c r="D5" s="235" t="s">
        <v>22</v>
      </c>
      <c r="E5" s="252">
        <v>0.0012642939814814815</v>
      </c>
      <c r="F5" s="252">
        <v>0.0008376388888888887</v>
      </c>
      <c r="G5" s="252">
        <f t="shared" si="1"/>
        <v>0.0021019328703703703</v>
      </c>
      <c r="H5" s="235" t="s">
        <v>125</v>
      </c>
      <c r="I5" s="235"/>
      <c r="J5" s="235"/>
      <c r="K5" s="235"/>
      <c r="L5" s="235"/>
      <c r="M5" s="235"/>
      <c r="N5" s="235"/>
      <c r="O5" s="235">
        <v>100</v>
      </c>
      <c r="P5" s="235"/>
      <c r="Q5" s="235"/>
      <c r="R5" s="235"/>
      <c r="S5" s="235"/>
      <c r="T5" s="365">
        <f>_xlfn.IFERROR(VLOOKUP(D5,BenchmarksRd2,4,0)*86400,"")</f>
        <v>176.14600000000002</v>
      </c>
      <c r="U5" s="504">
        <f>(($G5*86400)-T5)/2</f>
        <v>2.730499999999992</v>
      </c>
      <c r="V5" s="497">
        <f>MAX(I5:S5)</f>
        <v>100</v>
      </c>
      <c r="W5" s="164">
        <v>0</v>
      </c>
      <c r="X5" s="187">
        <f>IF(U5&lt;=0,10,IF(U5&lt;1,5,IF(U5&lt;2,0,IF(U5&lt;3,-5,-10))))</f>
        <v>-5</v>
      </c>
      <c r="Y5" s="335">
        <f>_xlfn.IFERROR(VLOOKUP(D5,Class,4,0),"n/a")</f>
        <v>2</v>
      </c>
      <c r="Z5" s="335">
        <f>_xlfn.IFERROR(VLOOKUP(D5,Class,3,0),"n/a")</f>
        <v>3</v>
      </c>
      <c r="AA5" s="335">
        <f>IF($Z5="n/a","",_xlfn.IFERROR(COUNTIF($Z$2:$Z5,"="&amp;Z5),""))</f>
        <v>1</v>
      </c>
      <c r="AB5" s="335">
        <f>COUNTIF($Y$2:Y4,"&lt;"&amp;Y5)</f>
        <v>0</v>
      </c>
      <c r="AC5" s="355">
        <f t="shared" si="2"/>
        <v>100</v>
      </c>
      <c r="AD5" s="69">
        <f t="shared" si="4"/>
        <v>95</v>
      </c>
      <c r="AF5" s="436" t="s">
        <v>55</v>
      </c>
      <c r="AG5" s="491">
        <v>0.0012143287037037038</v>
      </c>
      <c r="AH5" s="491">
        <v>0.0008423611111111111</v>
      </c>
      <c r="AI5" s="437">
        <f t="shared" si="3"/>
        <v>0.002056689814814815</v>
      </c>
    </row>
    <row r="6" spans="1:35" ht="12.75">
      <c r="A6" s="333">
        <v>242</v>
      </c>
      <c r="B6" s="543" t="s">
        <v>131</v>
      </c>
      <c r="C6" s="12" t="str">
        <f t="shared" si="0"/>
        <v>leon bogers</v>
      </c>
      <c r="D6" s="4" t="s">
        <v>26</v>
      </c>
      <c r="E6" s="544">
        <v>0.001313715277777778</v>
      </c>
      <c r="F6" s="544">
        <v>0.0008639351851851851</v>
      </c>
      <c r="G6" s="15">
        <f t="shared" si="1"/>
        <v>0.0021776504629629633</v>
      </c>
      <c r="H6" s="12" t="s">
        <v>125</v>
      </c>
      <c r="I6" s="12"/>
      <c r="J6" s="12"/>
      <c r="K6" s="12"/>
      <c r="L6" s="12"/>
      <c r="M6" s="12"/>
      <c r="N6" s="12"/>
      <c r="O6" s="12"/>
      <c r="P6" s="12"/>
      <c r="Q6" s="12"/>
      <c r="R6" s="12"/>
      <c r="S6" s="12"/>
      <c r="T6" s="353"/>
      <c r="U6" s="545"/>
      <c r="V6" s="497"/>
      <c r="W6" s="164"/>
      <c r="X6" s="187"/>
      <c r="Y6" s="335" t="str">
        <f>_xlfn.IFERROR(VLOOKUP(D6,Class,4,0),"n/a")</f>
        <v>n/a</v>
      </c>
      <c r="Z6" s="335" t="str">
        <f>_xlfn.IFERROR(VLOOKUP(D6,Class,3,0),"n/a")</f>
        <v>n/a</v>
      </c>
      <c r="AA6" s="335">
        <f>IF($Z6="n/a","",_xlfn.IFERROR(COUNTIF($Z$2:$Z6,"="&amp;Z6),""))</f>
      </c>
      <c r="AB6" s="335">
        <f>COUNTIF($Y$2:Y5,"&lt;"&amp;Y6)</f>
        <v>0</v>
      </c>
      <c r="AC6" s="355">
        <f t="shared" si="2"/>
        <v>0</v>
      </c>
      <c r="AD6" s="69">
        <f t="shared" si="4"/>
        <v>0</v>
      </c>
      <c r="AF6" s="438" t="s">
        <v>22</v>
      </c>
      <c r="AG6" s="427">
        <v>0.0012158101851851852</v>
      </c>
      <c r="AH6" s="492">
        <v>0.0008229166666666667</v>
      </c>
      <c r="AI6" s="487">
        <f t="shared" si="3"/>
        <v>0.002038726851851852</v>
      </c>
    </row>
    <row r="7" spans="1:35" ht="12.75">
      <c r="A7" s="116">
        <v>1</v>
      </c>
      <c r="B7" s="244" t="s">
        <v>133</v>
      </c>
      <c r="C7" s="12" t="str">
        <f t="shared" si="0"/>
        <v>john balazo</v>
      </c>
      <c r="D7" s="8" t="s">
        <v>26</v>
      </c>
      <c r="E7" s="19">
        <v>0.0013750000000000001</v>
      </c>
      <c r="F7" s="19">
        <v>0.0008160648148148149</v>
      </c>
      <c r="G7" s="19">
        <f t="shared" si="1"/>
        <v>0.002191064814814815</v>
      </c>
      <c r="H7" s="12" t="s">
        <v>126</v>
      </c>
      <c r="I7" s="12"/>
      <c r="J7" s="12"/>
      <c r="K7" s="12"/>
      <c r="L7" s="12"/>
      <c r="M7" s="12"/>
      <c r="N7" s="12"/>
      <c r="O7" s="12"/>
      <c r="P7" s="12"/>
      <c r="Q7" s="12"/>
      <c r="R7" s="12"/>
      <c r="S7" s="12"/>
      <c r="T7" s="353">
        <f aca="true" t="shared" si="5" ref="T7:T14">_xlfn.IFERROR(VLOOKUP(D7,BenchmarksRd2,4,0)*86400,"")</f>
      </c>
      <c r="U7" s="191"/>
      <c r="V7" s="497"/>
      <c r="W7" s="164"/>
      <c r="X7" s="187"/>
      <c r="Y7" s="335" t="str">
        <f>_xlfn.IFERROR(VLOOKUP(D7,Class,4,0),"n/a")</f>
        <v>n/a</v>
      </c>
      <c r="Z7" s="335" t="str">
        <f>_xlfn.IFERROR(VLOOKUP(D7,Class,3,0),"n/a")</f>
        <v>n/a</v>
      </c>
      <c r="AA7" s="335">
        <f>IF($Z7="n/a","",_xlfn.IFERROR(COUNTIF($Z$2:$Z7,"="&amp;Z7),""))</f>
      </c>
      <c r="AB7" s="335">
        <f>COUNTIF($Y$2:Y6,"&lt;"&amp;Y7)</f>
        <v>0</v>
      </c>
      <c r="AC7" s="355">
        <f t="shared" si="2"/>
        <v>0</v>
      </c>
      <c r="AD7" s="69">
        <f t="shared" si="4"/>
        <v>0</v>
      </c>
      <c r="AF7" s="440" t="s">
        <v>21</v>
      </c>
      <c r="AG7" s="256">
        <v>0.0012217361111111112</v>
      </c>
      <c r="AH7" s="256">
        <v>0.0008359259259259258</v>
      </c>
      <c r="AI7" s="441">
        <f t="shared" si="3"/>
        <v>0.0020576620370370367</v>
      </c>
    </row>
    <row r="8" spans="1:35" ht="12.75">
      <c r="A8" s="121">
        <v>28</v>
      </c>
      <c r="B8" s="63" t="s">
        <v>231</v>
      </c>
      <c r="C8" s="55" t="str">
        <f t="shared" si="0"/>
        <v>ibrahim rafei</v>
      </c>
      <c r="D8" s="55" t="s">
        <v>5</v>
      </c>
      <c r="E8" s="254">
        <v>0.0013236805555555554</v>
      </c>
      <c r="F8" s="254">
        <v>0.0008775578703703702</v>
      </c>
      <c r="G8" s="254">
        <f t="shared" si="1"/>
        <v>0.0022012384259259255</v>
      </c>
      <c r="H8" s="55" t="s">
        <v>125</v>
      </c>
      <c r="I8" s="55"/>
      <c r="J8" s="55"/>
      <c r="K8" s="55"/>
      <c r="L8" s="55"/>
      <c r="M8" s="55"/>
      <c r="N8" s="55"/>
      <c r="O8" s="55"/>
      <c r="P8" s="55"/>
      <c r="Q8" s="55"/>
      <c r="R8" s="55">
        <v>100</v>
      </c>
      <c r="S8" s="55"/>
      <c r="T8" s="368">
        <f t="shared" si="5"/>
        <v>180.67199999999997</v>
      </c>
      <c r="U8" s="506">
        <f>(($G8*86400)-T8)/2</f>
        <v>4.757499999999993</v>
      </c>
      <c r="V8" s="497">
        <f>MAX(I8:S8)</f>
        <v>100</v>
      </c>
      <c r="W8" s="164">
        <v>0</v>
      </c>
      <c r="X8" s="187">
        <f>IF(U8&lt;=0,10,IF(U8&lt;1,5,IF(U8&lt;2,0,IF(U8&lt;3,-5,-10))))</f>
        <v>-10</v>
      </c>
      <c r="Y8" s="335">
        <f>_xlfn.IFERROR(VLOOKUP(D8,Class,4,0),"n/a")</f>
        <v>1</v>
      </c>
      <c r="Z8" s="335">
        <f>_xlfn.IFERROR(VLOOKUP(D8,Class,3,0),"n/a")</f>
        <v>2</v>
      </c>
      <c r="AA8" s="335">
        <f>IF($Z8="n/a","",_xlfn.IFERROR(COUNTIF($Z$2:$Z8,"="&amp;Z8),""))</f>
        <v>1</v>
      </c>
      <c r="AB8" s="335">
        <f>COUNTIF($Y$2:Y7,"&lt;"&amp;Y8)</f>
        <v>0</v>
      </c>
      <c r="AC8" s="355">
        <f t="shared" si="2"/>
        <v>100</v>
      </c>
      <c r="AD8" s="69">
        <f t="shared" si="4"/>
        <v>90</v>
      </c>
      <c r="AF8" s="442" t="s">
        <v>56</v>
      </c>
      <c r="AG8" s="279"/>
      <c r="AH8" s="279"/>
      <c r="AI8" s="467">
        <f t="shared" si="3"/>
        <v>0</v>
      </c>
    </row>
    <row r="9" spans="1:35" ht="12.75">
      <c r="A9" s="265">
        <v>5</v>
      </c>
      <c r="B9" s="246" t="s">
        <v>132</v>
      </c>
      <c r="C9" s="151" t="str">
        <f t="shared" si="0"/>
        <v>tim edwards</v>
      </c>
      <c r="D9" s="151" t="s">
        <v>55</v>
      </c>
      <c r="E9" s="165">
        <v>0.0013163888888888889</v>
      </c>
      <c r="F9" s="165">
        <v>0.0008848726851851853</v>
      </c>
      <c r="G9" s="165">
        <f t="shared" si="1"/>
        <v>0.0022012615740740742</v>
      </c>
      <c r="H9" s="151" t="s">
        <v>125</v>
      </c>
      <c r="I9" s="151"/>
      <c r="J9" s="151"/>
      <c r="K9" s="151"/>
      <c r="L9" s="151"/>
      <c r="M9" s="151"/>
      <c r="N9" s="151"/>
      <c r="O9" s="151"/>
      <c r="P9" s="151">
        <v>100</v>
      </c>
      <c r="Q9" s="151"/>
      <c r="R9" s="151"/>
      <c r="S9" s="151"/>
      <c r="T9" s="507">
        <f t="shared" si="5"/>
        <v>177.698</v>
      </c>
      <c r="U9" s="508">
        <f>(($G9*86400)-T9)/2</f>
        <v>6.245500000000007</v>
      </c>
      <c r="V9" s="497">
        <f>MAX(I9:S9)</f>
        <v>100</v>
      </c>
      <c r="W9" s="164">
        <v>-40</v>
      </c>
      <c r="X9" s="187">
        <f>IF(U9&lt;=0,10,IF(U9&lt;1,5,IF(U9&lt;2,0,IF(U9&lt;3,-5,-10))))</f>
        <v>-10</v>
      </c>
      <c r="Y9" s="335">
        <f>_xlfn.IFERROR(VLOOKUP(D9,Class,4,0),"n/a")</f>
        <v>3</v>
      </c>
      <c r="Z9" s="335">
        <f>_xlfn.IFERROR(VLOOKUP(D9,Class,3,0),"n/a")</f>
        <v>6</v>
      </c>
      <c r="AA9" s="335">
        <f>IF($Z9="n/a","",_xlfn.IFERROR(COUNTIF($Z$2:$Z9,"="&amp;Z9),""))</f>
        <v>1</v>
      </c>
      <c r="AB9" s="335">
        <f>COUNTIF($Y$2:Y8,"&lt;"&amp;Y9)</f>
        <v>2</v>
      </c>
      <c r="AC9" s="355">
        <f t="shared" si="2"/>
        <v>60</v>
      </c>
      <c r="AD9" s="69">
        <f t="shared" si="4"/>
        <v>50</v>
      </c>
      <c r="AF9" s="443" t="s">
        <v>57</v>
      </c>
      <c r="AG9" s="493"/>
      <c r="AH9" s="493"/>
      <c r="AI9" s="468">
        <f t="shared" si="3"/>
        <v>0</v>
      </c>
    </row>
    <row r="10" spans="1:35" ht="12.75">
      <c r="A10" s="116">
        <v>205</v>
      </c>
      <c r="B10" s="244" t="s">
        <v>104</v>
      </c>
      <c r="C10" s="12" t="str">
        <f t="shared" si="0"/>
        <v>john reid</v>
      </c>
      <c r="D10" s="8" t="s">
        <v>26</v>
      </c>
      <c r="E10" s="19">
        <v>0.0013347453703703705</v>
      </c>
      <c r="F10" s="19">
        <v>0.0008791435185185186</v>
      </c>
      <c r="G10" s="19">
        <f t="shared" si="1"/>
        <v>0.002213888888888889</v>
      </c>
      <c r="H10" s="12" t="s">
        <v>125</v>
      </c>
      <c r="I10" s="12"/>
      <c r="J10" s="12"/>
      <c r="K10" s="12"/>
      <c r="L10" s="12"/>
      <c r="M10" s="12"/>
      <c r="N10" s="12"/>
      <c r="O10" s="12"/>
      <c r="P10" s="12"/>
      <c r="Q10" s="12"/>
      <c r="R10" s="12"/>
      <c r="S10" s="12"/>
      <c r="T10" s="353">
        <f t="shared" si="5"/>
      </c>
      <c r="U10" s="191"/>
      <c r="V10" s="497"/>
      <c r="W10" s="164"/>
      <c r="X10" s="187"/>
      <c r="Y10" s="335" t="str">
        <f>_xlfn.IFERROR(VLOOKUP(D10,Class,4,0),"n/a")</f>
        <v>n/a</v>
      </c>
      <c r="Z10" s="335" t="str">
        <f>_xlfn.IFERROR(VLOOKUP(D10,Class,3,0),"n/a")</f>
        <v>n/a</v>
      </c>
      <c r="AA10" s="335">
        <f>IF($Z10="n/a","",_xlfn.IFERROR(COUNTIF($Z$2:$Z10,"="&amp;Z10),""))</f>
      </c>
      <c r="AB10" s="335">
        <f>COUNTIF($Y$2:Y9,"&lt;"&amp;Y10)</f>
        <v>0</v>
      </c>
      <c r="AC10" s="355">
        <f t="shared" si="2"/>
        <v>0</v>
      </c>
      <c r="AD10" s="69">
        <f t="shared" si="4"/>
        <v>0</v>
      </c>
      <c r="AF10" s="444" t="s">
        <v>16</v>
      </c>
      <c r="AG10" s="494">
        <v>0.0011281828703703703</v>
      </c>
      <c r="AH10" s="494">
        <v>0.0007734374999999999</v>
      </c>
      <c r="AI10" s="445">
        <f>((AG10*86400)+(AH10*86400))/86400</f>
        <v>0.0019016203703703701</v>
      </c>
    </row>
    <row r="11" spans="1:35" ht="12.75">
      <c r="A11" s="116">
        <v>73</v>
      </c>
      <c r="B11" s="244" t="s">
        <v>107</v>
      </c>
      <c r="C11" s="12" t="str">
        <f t="shared" si="0"/>
        <v>jarrah pitt</v>
      </c>
      <c r="D11" s="8" t="s">
        <v>26</v>
      </c>
      <c r="E11" s="19">
        <v>0.0013829629629629628</v>
      </c>
      <c r="F11" s="19">
        <v>0.0009158680555555556</v>
      </c>
      <c r="G11" s="19">
        <f t="shared" si="1"/>
        <v>0.0022988310185185186</v>
      </c>
      <c r="H11" s="12" t="s">
        <v>125</v>
      </c>
      <c r="I11" s="12"/>
      <c r="J11" s="12"/>
      <c r="K11" s="12"/>
      <c r="L11" s="12"/>
      <c r="M11" s="12"/>
      <c r="N11" s="12"/>
      <c r="O11" s="12"/>
      <c r="P11" s="12"/>
      <c r="Q11" s="12"/>
      <c r="R11" s="12"/>
      <c r="S11" s="12"/>
      <c r="T11" s="353">
        <f t="shared" si="5"/>
      </c>
      <c r="U11" s="191"/>
      <c r="V11" s="497"/>
      <c r="W11" s="164"/>
      <c r="X11" s="187"/>
      <c r="Y11" s="335" t="str">
        <f>_xlfn.IFERROR(VLOOKUP(D11,Class,4,0),"n/a")</f>
        <v>n/a</v>
      </c>
      <c r="Z11" s="335" t="str">
        <f>_xlfn.IFERROR(VLOOKUP(D11,Class,3,0),"n/a")</f>
        <v>n/a</v>
      </c>
      <c r="AA11" s="335">
        <f>IF($Z11="n/a","",_xlfn.IFERROR(COUNTIF($Z$2:$Z11,"="&amp;Z11),""))</f>
      </c>
      <c r="AB11" s="335">
        <f>COUNTIF($Y$2:Y10,"&lt;"&amp;Y11)</f>
        <v>0</v>
      </c>
      <c r="AC11" s="355">
        <f t="shared" si="2"/>
        <v>0</v>
      </c>
      <c r="AD11" s="69">
        <f t="shared" si="4"/>
        <v>0</v>
      </c>
      <c r="AF11" s="446" t="s">
        <v>13</v>
      </c>
      <c r="AG11" s="495">
        <v>0.001110150462962963</v>
      </c>
      <c r="AH11" s="495">
        <v>0.0007670833333333333</v>
      </c>
      <c r="AI11" s="447">
        <f>((AG11*86400)+(AH11*86400))/86400</f>
        <v>0.0018772337962962961</v>
      </c>
    </row>
    <row r="12" spans="1:35" ht="13.5" thickBot="1">
      <c r="A12" s="121">
        <v>29</v>
      </c>
      <c r="B12" s="63" t="s">
        <v>113</v>
      </c>
      <c r="C12" s="55" t="str">
        <f t="shared" si="0"/>
        <v>steve williamsz</v>
      </c>
      <c r="D12" s="55" t="s">
        <v>5</v>
      </c>
      <c r="E12" s="254">
        <v>0.0014356944444444445</v>
      </c>
      <c r="F12" s="254">
        <v>0.0008711574074074074</v>
      </c>
      <c r="G12" s="254">
        <f t="shared" si="1"/>
        <v>0.002306851851851852</v>
      </c>
      <c r="H12" s="55" t="s">
        <v>127</v>
      </c>
      <c r="I12" s="55"/>
      <c r="J12" s="55"/>
      <c r="K12" s="55"/>
      <c r="L12" s="55"/>
      <c r="M12" s="55"/>
      <c r="N12" s="55"/>
      <c r="O12" s="55"/>
      <c r="P12" s="55"/>
      <c r="Q12" s="55"/>
      <c r="R12" s="55">
        <v>75</v>
      </c>
      <c r="S12" s="55"/>
      <c r="T12" s="368">
        <f t="shared" si="5"/>
        <v>180.67199999999997</v>
      </c>
      <c r="U12" s="506">
        <f>(($G12*86400)-T12)/2</f>
        <v>9.320000000000022</v>
      </c>
      <c r="V12" s="497">
        <f>MAX(I12:S12)</f>
        <v>75</v>
      </c>
      <c r="W12" s="164">
        <v>0</v>
      </c>
      <c r="X12" s="187">
        <f>IF(U12&lt;=0,10,IF(U12&lt;1,5,IF(U12&lt;2,0,IF(U12&lt;3,-5,-10))))</f>
        <v>-10</v>
      </c>
      <c r="Y12" s="335">
        <f>_xlfn.IFERROR(VLOOKUP(D12,Class,4,0),"n/a")</f>
        <v>1</v>
      </c>
      <c r="Z12" s="335">
        <f>_xlfn.IFERROR(VLOOKUP(D12,Class,3,0),"n/a")</f>
        <v>2</v>
      </c>
      <c r="AA12" s="335">
        <f>IF($Z12="n/a","",_xlfn.IFERROR(COUNTIF($Z$2:$Z12,"="&amp;Z12),""))</f>
        <v>2</v>
      </c>
      <c r="AB12" s="335">
        <f>COUNTIF($Y$2:Y11,"&lt;"&amp;Y12)</f>
        <v>0</v>
      </c>
      <c r="AC12" s="355">
        <f t="shared" si="2"/>
        <v>75</v>
      </c>
      <c r="AD12" s="69">
        <f t="shared" si="4"/>
        <v>65</v>
      </c>
      <c r="AF12" s="448" t="s">
        <v>14</v>
      </c>
      <c r="AG12" s="496">
        <v>0.0011213194444444445</v>
      </c>
      <c r="AH12" s="496">
        <v>0.0007424652777777778</v>
      </c>
      <c r="AI12" s="450">
        <f>((AG12*86400)+(AH12*86400))/86400</f>
        <v>0.0018637847222222222</v>
      </c>
    </row>
    <row r="13" spans="1:30" ht="12.75">
      <c r="A13" s="116">
        <v>124</v>
      </c>
      <c r="B13" s="244" t="s">
        <v>101</v>
      </c>
      <c r="C13" s="12" t="str">
        <f t="shared" si="0"/>
        <v>ray monik</v>
      </c>
      <c r="D13" s="8" t="s">
        <v>26</v>
      </c>
      <c r="E13" s="19">
        <v>0.001480462962962963</v>
      </c>
      <c r="F13" s="19">
        <v>0.0008539004629629629</v>
      </c>
      <c r="G13" s="19">
        <f t="shared" si="1"/>
        <v>0.002334363425925926</v>
      </c>
      <c r="H13" s="12" t="s">
        <v>127</v>
      </c>
      <c r="I13" s="12"/>
      <c r="J13" s="12"/>
      <c r="K13" s="12"/>
      <c r="L13" s="12"/>
      <c r="M13" s="12"/>
      <c r="N13" s="12"/>
      <c r="O13" s="12"/>
      <c r="P13" s="12"/>
      <c r="Q13" s="12"/>
      <c r="R13" s="12"/>
      <c r="S13" s="12"/>
      <c r="T13" s="353">
        <f t="shared" si="5"/>
      </c>
      <c r="U13" s="191"/>
      <c r="V13" s="497"/>
      <c r="W13" s="164"/>
      <c r="X13" s="187"/>
      <c r="Y13" s="335" t="str">
        <f>_xlfn.IFERROR(VLOOKUP(D13,Class,4,0),"n/a")</f>
        <v>n/a</v>
      </c>
      <c r="Z13" s="335" t="str">
        <f>_xlfn.IFERROR(VLOOKUP(D13,Class,3,0),"n/a")</f>
        <v>n/a</v>
      </c>
      <c r="AA13" s="335">
        <f>IF($Z13="n/a","",_xlfn.IFERROR(COUNTIF($Z$2:$Z13,"="&amp;Z13),""))</f>
      </c>
      <c r="AB13" s="335">
        <f>COUNTIF($Y$2:Y12,"&lt;"&amp;Y13)</f>
        <v>0</v>
      </c>
      <c r="AC13" s="355">
        <f t="shared" si="2"/>
        <v>0</v>
      </c>
      <c r="AD13" s="69">
        <f t="shared" si="4"/>
        <v>0</v>
      </c>
    </row>
    <row r="14" spans="1:30" ht="12.75">
      <c r="A14" s="121">
        <v>177</v>
      </c>
      <c r="B14" s="63" t="s">
        <v>108</v>
      </c>
      <c r="C14" s="55" t="str">
        <f t="shared" si="0"/>
        <v>gareth pedley</v>
      </c>
      <c r="D14" s="55" t="s">
        <v>5</v>
      </c>
      <c r="E14" s="254">
        <v>0.0014588425925925925</v>
      </c>
      <c r="F14" s="254">
        <v>0.0008823148148148148</v>
      </c>
      <c r="G14" s="254">
        <f t="shared" si="1"/>
        <v>0.0023411574074074072</v>
      </c>
      <c r="H14" s="55" t="s">
        <v>129</v>
      </c>
      <c r="I14" s="55"/>
      <c r="J14" s="55"/>
      <c r="K14" s="55"/>
      <c r="L14" s="55"/>
      <c r="M14" s="55"/>
      <c r="N14" s="55"/>
      <c r="O14" s="55"/>
      <c r="P14" s="55"/>
      <c r="Q14" s="55"/>
      <c r="R14" s="55">
        <v>60</v>
      </c>
      <c r="S14" s="55"/>
      <c r="T14" s="368">
        <f t="shared" si="5"/>
        <v>180.67199999999997</v>
      </c>
      <c r="U14" s="506">
        <f>(($G14*86400)-T14)/2</f>
        <v>10.802000000000007</v>
      </c>
      <c r="V14" s="497">
        <f aca="true" t="shared" si="6" ref="V14:V20">MAX(I14:S14)</f>
        <v>60</v>
      </c>
      <c r="W14" s="164">
        <v>0</v>
      </c>
      <c r="X14" s="187">
        <f aca="true" t="shared" si="7" ref="X14:X19">IF(U14&lt;=0,10,IF(U14&lt;1,5,IF(U14&lt;2,0,IF(U14&lt;3,-5,-10))))</f>
        <v>-10</v>
      </c>
      <c r="Y14" s="335">
        <f>_xlfn.IFERROR(VLOOKUP(D14,Class,4,0),"n/a")</f>
        <v>1</v>
      </c>
      <c r="Z14" s="335">
        <f>_xlfn.IFERROR(VLOOKUP(D14,Class,3,0),"n/a")</f>
        <v>2</v>
      </c>
      <c r="AA14" s="335">
        <f>IF($Z14="n/a","",_xlfn.IFERROR(COUNTIF($Z$2:$Z14,"="&amp;Z14),""))</f>
        <v>3</v>
      </c>
      <c r="AB14" s="335">
        <f>COUNTIF($Y$2:Y13,"&lt;"&amp;Y14)</f>
        <v>0</v>
      </c>
      <c r="AC14" s="355">
        <f aca="true" t="shared" si="8" ref="AC14:AC20">IF($Y14="n/a",0,_xlfn.IFERROR(VLOOKUP(AA14+AB14,Points,2,0),15))</f>
        <v>60</v>
      </c>
      <c r="AD14" s="69">
        <f t="shared" si="4"/>
        <v>50</v>
      </c>
    </row>
    <row r="15" spans="1:30" ht="12.75">
      <c r="A15" s="268">
        <v>146</v>
      </c>
      <c r="B15" s="131" t="s">
        <v>136</v>
      </c>
      <c r="C15" s="36" t="str">
        <f t="shared" si="0"/>
        <v>daniel white</v>
      </c>
      <c r="D15" s="36" t="s">
        <v>56</v>
      </c>
      <c r="E15" s="279">
        <v>0.001547928240740741</v>
      </c>
      <c r="F15" s="278">
        <v>0.0008464120370370371</v>
      </c>
      <c r="G15" s="253">
        <f t="shared" si="1"/>
        <v>0.0023943402777777782</v>
      </c>
      <c r="H15" s="36" t="s">
        <v>130</v>
      </c>
      <c r="I15" s="36"/>
      <c r="J15" s="36"/>
      <c r="K15" s="36"/>
      <c r="L15" s="36"/>
      <c r="M15" s="36">
        <v>100</v>
      </c>
      <c r="N15" s="36"/>
      <c r="O15" s="36"/>
      <c r="P15" s="36"/>
      <c r="Q15" s="36"/>
      <c r="R15" s="36"/>
      <c r="S15" s="36"/>
      <c r="T15" s="357" t="s">
        <v>98</v>
      </c>
      <c r="U15" s="502"/>
      <c r="V15" s="497">
        <f t="shared" si="6"/>
        <v>100</v>
      </c>
      <c r="W15" s="164">
        <v>-60</v>
      </c>
      <c r="X15" s="187">
        <v>0</v>
      </c>
      <c r="Y15" s="335">
        <f>_xlfn.IFERROR(VLOOKUP(D15,Class,4,0),"n/a")</f>
        <v>4</v>
      </c>
      <c r="Z15" s="335">
        <f>_xlfn.IFERROR(VLOOKUP(D15,Class,3,0),"n/a")</f>
        <v>7</v>
      </c>
      <c r="AA15" s="335">
        <f>IF($Z15="n/a","",_xlfn.IFERROR(COUNTIF($Z$2:$Z15,"="&amp;Z15),""))</f>
        <v>1</v>
      </c>
      <c r="AB15" s="335">
        <f>COUNTIF($Y$2:Y14,"&lt;"&amp;Y15)</f>
        <v>5</v>
      </c>
      <c r="AC15" s="355">
        <f t="shared" si="8"/>
        <v>15</v>
      </c>
      <c r="AD15" s="69">
        <f t="shared" si="4"/>
        <v>40</v>
      </c>
    </row>
    <row r="16" spans="1:30" ht="12.75">
      <c r="A16" s="121">
        <v>128</v>
      </c>
      <c r="B16" s="63" t="s">
        <v>232</v>
      </c>
      <c r="C16" s="55" t="str">
        <f t="shared" si="0"/>
        <v>allison rafei</v>
      </c>
      <c r="D16" s="55" t="s">
        <v>5</v>
      </c>
      <c r="E16" s="254">
        <v>0.0015082638888888888</v>
      </c>
      <c r="F16" s="254">
        <v>0.0008876388888888889</v>
      </c>
      <c r="G16" s="254">
        <f t="shared" si="1"/>
        <v>0.0023959027777777776</v>
      </c>
      <c r="H16" s="55" t="s">
        <v>27</v>
      </c>
      <c r="I16" s="55"/>
      <c r="J16" s="55"/>
      <c r="K16" s="55"/>
      <c r="L16" s="55"/>
      <c r="M16" s="55"/>
      <c r="N16" s="55"/>
      <c r="O16" s="55"/>
      <c r="P16" s="55"/>
      <c r="Q16" s="55"/>
      <c r="R16" s="55">
        <v>45</v>
      </c>
      <c r="S16" s="55"/>
      <c r="T16" s="368">
        <f>_xlfn.IFERROR(VLOOKUP(D16,BenchmarksRd2,4,0)*86400,"")</f>
        <v>180.67199999999997</v>
      </c>
      <c r="U16" s="506">
        <f>(($G16*86400)-T16)/2</f>
        <v>13.167000000000002</v>
      </c>
      <c r="V16" s="497">
        <f t="shared" si="6"/>
        <v>45</v>
      </c>
      <c r="W16" s="164">
        <v>0</v>
      </c>
      <c r="X16" s="187">
        <f t="shared" si="7"/>
        <v>-10</v>
      </c>
      <c r="Y16" s="335">
        <f>_xlfn.IFERROR(VLOOKUP(D16,Class,4,0),"n/a")</f>
        <v>1</v>
      </c>
      <c r="Z16" s="335">
        <f>_xlfn.IFERROR(VLOOKUP(D16,Class,3,0),"n/a")</f>
        <v>2</v>
      </c>
      <c r="AA16" s="335">
        <f>IF($Z16="n/a","",_xlfn.IFERROR(COUNTIF($Z$2:$Z16,"="&amp;Z16),""))</f>
        <v>4</v>
      </c>
      <c r="AB16" s="335">
        <f>COUNTIF($Y$2:Y15,"&lt;"&amp;Y16)</f>
        <v>0</v>
      </c>
      <c r="AC16" s="355">
        <f t="shared" si="8"/>
        <v>45</v>
      </c>
      <c r="AD16" s="69">
        <f t="shared" si="4"/>
        <v>35</v>
      </c>
    </row>
    <row r="17" spans="1:30" ht="12.75">
      <c r="A17" s="121">
        <v>77</v>
      </c>
      <c r="B17" s="63" t="s">
        <v>105</v>
      </c>
      <c r="C17" s="55" t="str">
        <f t="shared" si="0"/>
        <v>simeon ouzas</v>
      </c>
      <c r="D17" s="55" t="s">
        <v>5</v>
      </c>
      <c r="E17" s="254">
        <v>0.001606388888888889</v>
      </c>
      <c r="F17" s="254">
        <v>0.0008683796296296295</v>
      </c>
      <c r="G17" s="254">
        <f t="shared" si="1"/>
        <v>0.0024747685185185185</v>
      </c>
      <c r="H17" s="55" t="s">
        <v>129</v>
      </c>
      <c r="I17" s="55"/>
      <c r="J17" s="55"/>
      <c r="K17" s="55"/>
      <c r="L17" s="55"/>
      <c r="M17" s="55"/>
      <c r="N17" s="55"/>
      <c r="O17" s="55"/>
      <c r="P17" s="55"/>
      <c r="Q17" s="55"/>
      <c r="R17" s="55">
        <v>30</v>
      </c>
      <c r="S17" s="55"/>
      <c r="T17" s="368">
        <f>_xlfn.IFERROR(VLOOKUP(D17,BenchmarksRd2,4,0)*86400,"")</f>
        <v>180.67199999999997</v>
      </c>
      <c r="U17" s="506">
        <f>(($G17*86400)-T17)/2</f>
        <v>16.574000000000012</v>
      </c>
      <c r="V17" s="497">
        <f t="shared" si="6"/>
        <v>30</v>
      </c>
      <c r="W17" s="164">
        <v>0</v>
      </c>
      <c r="X17" s="187">
        <f t="shared" si="7"/>
        <v>-10</v>
      </c>
      <c r="Y17" s="335">
        <f>_xlfn.IFERROR(VLOOKUP(D17,Class,4,0),"n/a")</f>
        <v>1</v>
      </c>
      <c r="Z17" s="335">
        <f>_xlfn.IFERROR(VLOOKUP(D17,Class,3,0),"n/a")</f>
        <v>2</v>
      </c>
      <c r="AA17" s="335">
        <f>IF($Z17="n/a","",_xlfn.IFERROR(COUNTIF($Z$2:$Z17,"="&amp;Z17),""))</f>
        <v>5</v>
      </c>
      <c r="AB17" s="335">
        <f>COUNTIF($Y$2:Y16,"&lt;"&amp;Y17)</f>
        <v>0</v>
      </c>
      <c r="AC17" s="355">
        <f t="shared" si="8"/>
        <v>30</v>
      </c>
      <c r="AD17" s="69">
        <f t="shared" si="4"/>
        <v>20</v>
      </c>
    </row>
    <row r="18" spans="1:30" ht="12.75">
      <c r="A18" s="287">
        <v>11</v>
      </c>
      <c r="B18" s="245" t="s">
        <v>137</v>
      </c>
      <c r="C18" s="235" t="str">
        <f t="shared" si="0"/>
        <v>george vellis</v>
      </c>
      <c r="D18" s="235" t="s">
        <v>22</v>
      </c>
      <c r="E18" s="252">
        <v>0.001599849537037037</v>
      </c>
      <c r="F18" s="252">
        <v>0.0009337615740740739</v>
      </c>
      <c r="G18" s="252">
        <f t="shared" si="1"/>
        <v>0.002533611111111111</v>
      </c>
      <c r="H18" s="235" t="s">
        <v>129</v>
      </c>
      <c r="I18" s="235"/>
      <c r="J18" s="235"/>
      <c r="K18" s="235"/>
      <c r="L18" s="235"/>
      <c r="M18" s="235"/>
      <c r="N18" s="235"/>
      <c r="O18" s="235">
        <v>75</v>
      </c>
      <c r="P18" s="235"/>
      <c r="Q18" s="235"/>
      <c r="R18" s="235"/>
      <c r="S18" s="235"/>
      <c r="T18" s="365">
        <f>_xlfn.IFERROR(VLOOKUP(D18,BenchmarksRd2,4,0)*86400,"")</f>
        <v>176.14600000000002</v>
      </c>
      <c r="U18" s="504">
        <f>(($G18*86400)-T18)/2</f>
        <v>21.37899999999999</v>
      </c>
      <c r="V18" s="497">
        <f t="shared" si="6"/>
        <v>75</v>
      </c>
      <c r="W18" s="164">
        <v>-60</v>
      </c>
      <c r="X18" s="187">
        <f t="shared" si="7"/>
        <v>-10</v>
      </c>
      <c r="Y18" s="335">
        <f>_xlfn.IFERROR(VLOOKUP(D18,Class,4,0),"n/a")</f>
        <v>2</v>
      </c>
      <c r="Z18" s="335">
        <f>_xlfn.IFERROR(VLOOKUP(D18,Class,3,0),"n/a")</f>
        <v>3</v>
      </c>
      <c r="AA18" s="335">
        <f>IF($Z18="n/a","",_xlfn.IFERROR(COUNTIF($Z$2:$Z18,"="&amp;Z18),""))</f>
        <v>2</v>
      </c>
      <c r="AB18" s="335">
        <f>COUNTIF($Y$2:Y17,"&lt;"&amp;Y18)</f>
        <v>5</v>
      </c>
      <c r="AC18" s="355">
        <f t="shared" si="8"/>
        <v>15</v>
      </c>
      <c r="AD18" s="69">
        <f t="shared" si="4"/>
        <v>5</v>
      </c>
    </row>
    <row r="19" spans="1:30" ht="12.75">
      <c r="A19" s="118">
        <v>119</v>
      </c>
      <c r="B19" s="114" t="s">
        <v>134</v>
      </c>
      <c r="C19" s="38" t="str">
        <f t="shared" si="0"/>
        <v>peter dannock</v>
      </c>
      <c r="D19" s="38" t="s">
        <v>21</v>
      </c>
      <c r="E19" s="255">
        <v>0.0014496412037037036</v>
      </c>
      <c r="F19" s="249" t="s">
        <v>26</v>
      </c>
      <c r="G19" s="256" t="s">
        <v>26</v>
      </c>
      <c r="H19" s="38" t="s">
        <v>128</v>
      </c>
      <c r="I19" s="38"/>
      <c r="J19" s="38"/>
      <c r="K19" s="38"/>
      <c r="L19" s="38"/>
      <c r="M19" s="38"/>
      <c r="N19" s="38">
        <v>100</v>
      </c>
      <c r="O19" s="38"/>
      <c r="P19" s="38"/>
      <c r="Q19" s="38"/>
      <c r="R19" s="38"/>
      <c r="S19" s="38"/>
      <c r="T19" s="363">
        <f>AG7*86400</f>
        <v>105.558</v>
      </c>
      <c r="U19" s="505">
        <f>($E19*86400)-T19</f>
        <v>19.69099999999999</v>
      </c>
      <c r="V19" s="497">
        <f t="shared" si="6"/>
        <v>100</v>
      </c>
      <c r="W19" s="164">
        <v>-85</v>
      </c>
      <c r="X19" s="187">
        <f t="shared" si="7"/>
        <v>-10</v>
      </c>
      <c r="Y19" s="335">
        <f>_xlfn.IFERROR(VLOOKUP(D19,Class,4,0),"n/a")</f>
        <v>2</v>
      </c>
      <c r="Z19" s="335">
        <f>_xlfn.IFERROR(VLOOKUP(D19,Class,3,0),"n/a")</f>
        <v>4</v>
      </c>
      <c r="AA19" s="335">
        <f>IF($Z19="n/a","",_xlfn.IFERROR(COUNTIF($Z$2:$Z19,"="&amp;Z19),""))</f>
        <v>1</v>
      </c>
      <c r="AB19" s="335">
        <f>COUNTIF($Y$2:Y18,"&lt;"&amp;Y19)</f>
        <v>5</v>
      </c>
      <c r="AC19" s="355">
        <f t="shared" si="8"/>
        <v>15</v>
      </c>
      <c r="AD19" s="69">
        <f t="shared" si="4"/>
        <v>5</v>
      </c>
    </row>
    <row r="20" spans="1:30" ht="13.5" thickBot="1">
      <c r="A20" s="300">
        <v>21</v>
      </c>
      <c r="B20" s="247" t="s">
        <v>135</v>
      </c>
      <c r="C20" s="239" t="str">
        <f t="shared" si="0"/>
        <v>gavin newman</v>
      </c>
      <c r="D20" s="239" t="s">
        <v>56</v>
      </c>
      <c r="E20" s="548">
        <v>0.0014955555555555555</v>
      </c>
      <c r="F20" s="248" t="s">
        <v>26</v>
      </c>
      <c r="G20" s="257" t="s">
        <v>26</v>
      </c>
      <c r="H20" s="36" t="s">
        <v>130</v>
      </c>
      <c r="I20" s="36"/>
      <c r="J20" s="36"/>
      <c r="K20" s="36"/>
      <c r="L20" s="36"/>
      <c r="M20" s="36">
        <v>75</v>
      </c>
      <c r="N20" s="36"/>
      <c r="O20" s="36"/>
      <c r="P20" s="36"/>
      <c r="Q20" s="36"/>
      <c r="R20" s="36"/>
      <c r="S20" s="36"/>
      <c r="T20" s="357" t="s">
        <v>98</v>
      </c>
      <c r="U20" s="502"/>
      <c r="V20" s="497">
        <f t="shared" si="6"/>
        <v>75</v>
      </c>
      <c r="W20" s="164">
        <v>-45</v>
      </c>
      <c r="X20" s="187">
        <v>0</v>
      </c>
      <c r="Y20" s="335">
        <f>_xlfn.IFERROR(VLOOKUP(D20,Class,4,0),"n/a")</f>
        <v>4</v>
      </c>
      <c r="Z20" s="335">
        <f>_xlfn.IFERROR(VLOOKUP(D20,Class,3,0),"n/a")</f>
        <v>7</v>
      </c>
      <c r="AA20" s="335">
        <f>IF($Z20="n/a","",_xlfn.IFERROR(COUNTIF($Z$2:$Z20,"="&amp;Z20),""))</f>
        <v>2</v>
      </c>
      <c r="AB20" s="335">
        <f>COUNTIF($Y$2:Y19,"&lt;"&amp;Y20)</f>
        <v>9</v>
      </c>
      <c r="AC20" s="355">
        <f t="shared" si="8"/>
        <v>15</v>
      </c>
      <c r="AD20" s="69">
        <f t="shared" si="4"/>
        <v>30</v>
      </c>
    </row>
    <row r="21" spans="8:30" ht="13.5" thickBot="1">
      <c r="H21" s="205" t="s">
        <v>29</v>
      </c>
      <c r="I21" s="206">
        <f aca="true" t="shared" si="9" ref="I21:S21">COUNTA(I2:I20)</f>
        <v>1</v>
      </c>
      <c r="J21" s="206">
        <f t="shared" si="9"/>
        <v>0</v>
      </c>
      <c r="K21" s="206">
        <f t="shared" si="9"/>
        <v>0</v>
      </c>
      <c r="L21" s="206">
        <f t="shared" si="9"/>
        <v>1</v>
      </c>
      <c r="M21" s="206">
        <f t="shared" si="9"/>
        <v>2</v>
      </c>
      <c r="N21" s="206">
        <f t="shared" si="9"/>
        <v>1</v>
      </c>
      <c r="O21" s="206">
        <f t="shared" si="9"/>
        <v>2</v>
      </c>
      <c r="P21" s="206">
        <f t="shared" si="9"/>
        <v>1</v>
      </c>
      <c r="Q21" s="206">
        <f t="shared" si="9"/>
        <v>0</v>
      </c>
      <c r="R21" s="206">
        <f t="shared" si="9"/>
        <v>5</v>
      </c>
      <c r="S21" s="206">
        <f t="shared" si="9"/>
        <v>0</v>
      </c>
      <c r="T21" s="206"/>
      <c r="U21" s="546"/>
      <c r="V21" s="206"/>
      <c r="W21" s="206"/>
      <c r="X21" s="206"/>
      <c r="Y21" s="547"/>
      <c r="Z21" s="547"/>
      <c r="AA21" s="547"/>
      <c r="AB21" s="547"/>
      <c r="AC21" s="547"/>
      <c r="AD21" s="207">
        <f>COUNTA(AD2:AD20)</f>
        <v>19</v>
      </c>
    </row>
    <row r="23" spans="2:4" ht="12.75">
      <c r="B23" s="2"/>
      <c r="C23" s="2"/>
      <c r="D23" s="126"/>
    </row>
    <row r="25" ht="15">
      <c r="E25" s="178"/>
    </row>
  </sheetData>
  <sheetProtection/>
  <mergeCells count="1">
    <mergeCell ref="AF1:AI1"/>
  </mergeCells>
  <printOptions/>
  <pageMargins left="0.7" right="0.7" top="0.75" bottom="0.75" header="0.3" footer="0.3"/>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G16"/>
  <sheetViews>
    <sheetView zoomScale="90" zoomScaleNormal="90" zoomScalePageLayoutView="0" workbookViewId="0" topLeftCell="A1">
      <selection activeCell="AC2" sqref="AC2"/>
    </sheetView>
  </sheetViews>
  <sheetFormatPr defaultColWidth="9.140625" defaultRowHeight="12.75"/>
  <cols>
    <col min="1" max="1" width="7.8515625" style="124" customWidth="1"/>
    <col min="2" max="2" width="18.8515625" style="125" customWidth="1"/>
    <col min="3" max="3" width="20.8515625" style="125" hidden="1" customWidth="1"/>
    <col min="4" max="4" width="7.7109375" style="125" bestFit="1" customWidth="1"/>
    <col min="5" max="5" width="10.421875" style="125" customWidth="1"/>
    <col min="6" max="6" width="14.28125" style="125" bestFit="1" customWidth="1"/>
    <col min="7" max="7" width="9.57421875" style="125" customWidth="1"/>
    <col min="8" max="18" width="7.7109375" style="125" customWidth="1"/>
    <col min="19" max="20" width="6.7109375" style="125" customWidth="1"/>
    <col min="21" max="21" width="8.28125" style="0" customWidth="1"/>
    <col min="22" max="22" width="8.8515625" style="185" customWidth="1"/>
    <col min="23" max="23" width="8.8515625" style="0" customWidth="1"/>
    <col min="24" max="24" width="14.28125" style="125" customWidth="1"/>
    <col min="25" max="27" width="8.8515625" style="125" customWidth="1"/>
    <col min="28" max="28" width="10.8515625" style="125" customWidth="1"/>
    <col min="29" max="29" width="8.8515625" style="0" customWidth="1"/>
    <col min="30" max="31" width="8.8515625" style="125" customWidth="1"/>
    <col min="32" max="32" width="21.00390625" style="125" bestFit="1" customWidth="1"/>
    <col min="33" max="33" width="9.28125" style="125" bestFit="1" customWidth="1"/>
    <col min="34" max="16384" width="8.8515625" style="125" customWidth="1"/>
  </cols>
  <sheetData>
    <row r="1" spans="1:33" s="124" customFormat="1" ht="42.75" customHeight="1" thickBot="1">
      <c r="A1" s="317" t="s">
        <v>23</v>
      </c>
      <c r="B1" s="318" t="s">
        <v>1</v>
      </c>
      <c r="C1" s="319" t="s">
        <v>1</v>
      </c>
      <c r="D1" s="319" t="s">
        <v>2</v>
      </c>
      <c r="E1" s="320" t="s">
        <v>24</v>
      </c>
      <c r="F1" s="321"/>
      <c r="G1" s="321" t="s">
        <v>25</v>
      </c>
      <c r="H1" s="322" t="s">
        <v>14</v>
      </c>
      <c r="I1" s="323" t="s">
        <v>13</v>
      </c>
      <c r="J1" s="324" t="s">
        <v>16</v>
      </c>
      <c r="K1" s="325" t="s">
        <v>57</v>
      </c>
      <c r="L1" s="326" t="s">
        <v>56</v>
      </c>
      <c r="M1" s="327" t="s">
        <v>21</v>
      </c>
      <c r="N1" s="328" t="s">
        <v>22</v>
      </c>
      <c r="O1" s="329" t="s">
        <v>55</v>
      </c>
      <c r="P1" s="330" t="s">
        <v>4</v>
      </c>
      <c r="Q1" s="331" t="s">
        <v>5</v>
      </c>
      <c r="R1" s="332" t="s">
        <v>3</v>
      </c>
      <c r="S1" s="184" t="s">
        <v>118</v>
      </c>
      <c r="T1" s="343" t="s">
        <v>240</v>
      </c>
      <c r="U1" s="343" t="s">
        <v>95</v>
      </c>
      <c r="V1" s="354" t="s">
        <v>96</v>
      </c>
      <c r="W1" s="344" t="s">
        <v>117</v>
      </c>
      <c r="X1" s="334" t="s">
        <v>238</v>
      </c>
      <c r="Y1" s="334" t="s">
        <v>2</v>
      </c>
      <c r="Z1" s="334" t="s">
        <v>242</v>
      </c>
      <c r="AA1" s="334" t="s">
        <v>234</v>
      </c>
      <c r="AB1" s="334" t="s">
        <v>239</v>
      </c>
      <c r="AC1" s="184" t="s">
        <v>243</v>
      </c>
      <c r="AE1" s="537" t="s">
        <v>260</v>
      </c>
      <c r="AF1" s="538"/>
      <c r="AG1" s="539"/>
    </row>
    <row r="2" spans="1:33" ht="12.75">
      <c r="A2" s="281">
        <v>46</v>
      </c>
      <c r="B2" s="282" t="s">
        <v>151</v>
      </c>
      <c r="C2" s="282" t="str">
        <f>LOWER(B2)</f>
        <v>dean watchorn</v>
      </c>
      <c r="D2" s="283" t="s">
        <v>16</v>
      </c>
      <c r="E2" s="284" t="s">
        <v>152</v>
      </c>
      <c r="F2" s="282"/>
      <c r="G2" s="283" t="s">
        <v>125</v>
      </c>
      <c r="H2" s="469">
        <f>IF($D2=H$1,$S2,"")</f>
      </c>
      <c r="I2" s="469">
        <f aca="true" t="shared" si="0" ref="I2:R2">IF($D2=I$1,$S2,"")</f>
      </c>
      <c r="J2" s="469">
        <f t="shared" si="0"/>
        <v>100</v>
      </c>
      <c r="K2" s="469">
        <f t="shared" si="0"/>
      </c>
      <c r="L2" s="469">
        <f t="shared" si="0"/>
      </c>
      <c r="M2" s="469">
        <f t="shared" si="0"/>
      </c>
      <c r="N2" s="469">
        <f t="shared" si="0"/>
      </c>
      <c r="O2" s="469">
        <f t="shared" si="0"/>
      </c>
      <c r="P2" s="469">
        <f t="shared" si="0"/>
      </c>
      <c r="Q2" s="469">
        <f t="shared" si="0"/>
      </c>
      <c r="R2" s="472">
        <f t="shared" si="0"/>
      </c>
      <c r="S2" s="275">
        <f aca="true" t="shared" si="1" ref="S2:S13">_xlfn.IFERROR(VLOOKUP($Z2,Points,2,0),0)</f>
        <v>100</v>
      </c>
      <c r="T2" s="281">
        <f aca="true" t="shared" si="2" ref="T2:T13">AB2-S2</f>
        <v>0</v>
      </c>
      <c r="U2" s="470">
        <f aca="true" t="shared" si="3" ref="U2:U13">_xlfn.IFERROR(VLOOKUP(D2,BenchmarksRd3,3,0)*86400,"")</f>
        <v>97.475</v>
      </c>
      <c r="V2" s="471">
        <f aca="true" t="shared" si="4" ref="V2:V7">(($E2*86400)-U2)</f>
        <v>1.0900000000000034</v>
      </c>
      <c r="W2" s="285">
        <f aca="true" t="shared" si="5" ref="W2:W13">IF(V2&lt;=0,10,IF(V2&lt;1,5,IF(V2&lt;2,0,IF(V2&lt;3,-5,-10))))</f>
        <v>0</v>
      </c>
      <c r="X2" s="382">
        <f aca="true" t="shared" si="6" ref="X2:X13">_xlfn.IFERROR(VLOOKUP(D2,Class,4,0),"n/a")</f>
        <v>5</v>
      </c>
      <c r="Y2" s="382">
        <f aca="true" t="shared" si="7" ref="Y2:Y13">_xlfn.IFERROR(VLOOKUP(D2,Class,3,0),"n/a")</f>
        <v>9</v>
      </c>
      <c r="Z2" s="382">
        <f>IF($Y2="n/a","",_xlfn.IFERROR(COUNTIF($Y$2:$Y2,"="&amp;Y2),""))</f>
        <v>1</v>
      </c>
      <c r="AA2" s="382">
        <f>COUNTIF($X1:X$2,"&lt;"&amp;X2)</f>
        <v>0</v>
      </c>
      <c r="AB2" s="414">
        <f aca="true" t="shared" si="8" ref="AB2:AB13">IF($Y2="n/a",0,_xlfn.IFERROR(VLOOKUP(Z2+AA2,Points,2,0),15))</f>
        <v>100</v>
      </c>
      <c r="AC2" s="276">
        <f aca="true" t="shared" si="9" ref="AC2:AC13">(S2+T2+W2)</f>
        <v>100</v>
      </c>
      <c r="AE2" s="465" t="s">
        <v>3</v>
      </c>
      <c r="AF2" s="89" t="s">
        <v>161</v>
      </c>
      <c r="AG2" s="466">
        <v>0.0012429050925925925</v>
      </c>
    </row>
    <row r="3" spans="1:33" ht="12.75">
      <c r="A3" s="115">
        <v>50</v>
      </c>
      <c r="B3" s="286" t="s">
        <v>153</v>
      </c>
      <c r="C3" s="286" t="str">
        <f aca="true" t="shared" si="10" ref="C3:C13">LOWER(B3)</f>
        <v>alan conrad</v>
      </c>
      <c r="D3" s="37" t="s">
        <v>57</v>
      </c>
      <c r="E3" s="188" t="s">
        <v>154</v>
      </c>
      <c r="F3" s="293" t="s">
        <v>97</v>
      </c>
      <c r="G3" s="37" t="s">
        <v>127</v>
      </c>
      <c r="H3" s="419">
        <f aca="true" t="shared" si="11" ref="H3:R13">IF($D3=H$1,$S3,"")</f>
      </c>
      <c r="I3" s="419">
        <f t="shared" si="11"/>
      </c>
      <c r="J3" s="419">
        <f t="shared" si="11"/>
      </c>
      <c r="K3" s="419">
        <f t="shared" si="11"/>
        <v>100</v>
      </c>
      <c r="L3" s="419">
        <f t="shared" si="11"/>
      </c>
      <c r="M3" s="419">
        <f t="shared" si="11"/>
      </c>
      <c r="N3" s="419">
        <f t="shared" si="11"/>
      </c>
      <c r="O3" s="419">
        <f t="shared" si="11"/>
      </c>
      <c r="P3" s="419">
        <f t="shared" si="11"/>
      </c>
      <c r="Q3" s="419">
        <f t="shared" si="11"/>
      </c>
      <c r="R3" s="473">
        <f t="shared" si="11"/>
      </c>
      <c r="S3" s="37">
        <f t="shared" si="1"/>
        <v>100</v>
      </c>
      <c r="T3" s="115">
        <f t="shared" si="2"/>
        <v>0</v>
      </c>
      <c r="U3" s="373">
        <f t="shared" si="3"/>
        <v>109.949</v>
      </c>
      <c r="V3" s="360">
        <f t="shared" si="4"/>
        <v>-9.180999999999997</v>
      </c>
      <c r="W3" s="69">
        <f t="shared" si="5"/>
        <v>10</v>
      </c>
      <c r="X3" s="335">
        <f t="shared" si="6"/>
        <v>4</v>
      </c>
      <c r="Y3" s="335">
        <f t="shared" si="7"/>
        <v>8</v>
      </c>
      <c r="Z3" s="335">
        <f>IF($Y3="n/a","",_xlfn.IFERROR(COUNTIF($Y$2:$Y3,"="&amp;Y3),""))</f>
        <v>1</v>
      </c>
      <c r="AA3" s="335">
        <f>COUNTIF($X$2:X2,"&lt;"&amp;X3)</f>
        <v>0</v>
      </c>
      <c r="AB3" s="355">
        <f t="shared" si="8"/>
        <v>100</v>
      </c>
      <c r="AC3" s="69">
        <f t="shared" si="9"/>
        <v>110</v>
      </c>
      <c r="AE3" s="432" t="s">
        <v>5</v>
      </c>
      <c r="AF3" s="426" t="s">
        <v>196</v>
      </c>
      <c r="AG3" s="433">
        <v>0.001238275462962963</v>
      </c>
    </row>
    <row r="4" spans="1:33" ht="12.75">
      <c r="A4" s="127">
        <v>555</v>
      </c>
      <c r="B4" s="73" t="s">
        <v>155</v>
      </c>
      <c r="C4" s="73" t="str">
        <f t="shared" si="10"/>
        <v>tim meaden</v>
      </c>
      <c r="D4" s="77" t="s">
        <v>13</v>
      </c>
      <c r="E4" s="128" t="s">
        <v>156</v>
      </c>
      <c r="F4" s="73"/>
      <c r="G4" s="77" t="s">
        <v>79</v>
      </c>
      <c r="H4" s="79">
        <f t="shared" si="11"/>
      </c>
      <c r="I4" s="79">
        <f t="shared" si="11"/>
        <v>100</v>
      </c>
      <c r="J4" s="79">
        <f t="shared" si="11"/>
      </c>
      <c r="K4" s="79">
        <f t="shared" si="11"/>
      </c>
      <c r="L4" s="79">
        <f t="shared" si="11"/>
      </c>
      <c r="M4" s="79">
        <f t="shared" si="11"/>
      </c>
      <c r="N4" s="79">
        <f t="shared" si="11"/>
      </c>
      <c r="O4" s="79">
        <f t="shared" si="11"/>
      </c>
      <c r="P4" s="79">
        <f t="shared" si="11"/>
      </c>
      <c r="Q4" s="79">
        <f t="shared" si="11"/>
      </c>
      <c r="R4" s="474">
        <f t="shared" si="11"/>
      </c>
      <c r="S4" s="37">
        <f t="shared" si="1"/>
        <v>100</v>
      </c>
      <c r="T4" s="127">
        <f t="shared" si="2"/>
        <v>-40</v>
      </c>
      <c r="U4" s="462">
        <f t="shared" si="3"/>
        <v>95.917</v>
      </c>
      <c r="V4" s="356">
        <f t="shared" si="4"/>
        <v>5.387000000000015</v>
      </c>
      <c r="W4" s="129">
        <f t="shared" si="5"/>
        <v>-10</v>
      </c>
      <c r="X4" s="335">
        <f t="shared" si="6"/>
        <v>6</v>
      </c>
      <c r="Y4" s="335">
        <f t="shared" si="7"/>
        <v>10</v>
      </c>
      <c r="Z4" s="335">
        <f>IF($Y4="n/a","",_xlfn.IFERROR(COUNTIF($Y$2:$Y4,"="&amp;Y4),""))</f>
        <v>1</v>
      </c>
      <c r="AA4" s="335">
        <f>COUNTIF($X$2:X3,"&lt;"&amp;X4)</f>
        <v>2</v>
      </c>
      <c r="AB4" s="355">
        <f t="shared" si="8"/>
        <v>60</v>
      </c>
      <c r="AC4" s="69">
        <f t="shared" si="9"/>
        <v>50</v>
      </c>
      <c r="AE4" s="434" t="s">
        <v>4</v>
      </c>
      <c r="AF4" s="161" t="s">
        <v>157</v>
      </c>
      <c r="AG4" s="435">
        <v>0.0011998611111111112</v>
      </c>
    </row>
    <row r="5" spans="1:33" ht="12.75">
      <c r="A5" s="265">
        <v>88</v>
      </c>
      <c r="B5" s="154" t="s">
        <v>157</v>
      </c>
      <c r="C5" s="154" t="str">
        <f t="shared" si="10"/>
        <v>randy stagno navarra</v>
      </c>
      <c r="D5" s="151" t="s">
        <v>55</v>
      </c>
      <c r="E5" s="291" t="s">
        <v>158</v>
      </c>
      <c r="F5" s="292" t="s">
        <v>97</v>
      </c>
      <c r="G5" s="151" t="s">
        <v>127</v>
      </c>
      <c r="H5" s="421">
        <f t="shared" si="11"/>
      </c>
      <c r="I5" s="421">
        <f t="shared" si="11"/>
      </c>
      <c r="J5" s="421">
        <f t="shared" si="11"/>
      </c>
      <c r="K5" s="421">
        <f t="shared" si="11"/>
      </c>
      <c r="L5" s="421">
        <f t="shared" si="11"/>
      </c>
      <c r="M5" s="421">
        <f t="shared" si="11"/>
      </c>
      <c r="N5" s="421">
        <f t="shared" si="11"/>
      </c>
      <c r="O5" s="421">
        <f t="shared" si="11"/>
        <v>100</v>
      </c>
      <c r="P5" s="421">
        <f t="shared" si="11"/>
      </c>
      <c r="Q5" s="421">
        <f t="shared" si="11"/>
      </c>
      <c r="R5" s="475">
        <f t="shared" si="11"/>
      </c>
      <c r="S5" s="37">
        <f t="shared" si="1"/>
        <v>100</v>
      </c>
      <c r="T5" s="265">
        <f t="shared" si="2"/>
        <v>0</v>
      </c>
      <c r="U5" s="482">
        <f t="shared" si="3"/>
        <v>104.918</v>
      </c>
      <c r="V5" s="483">
        <f t="shared" si="4"/>
        <v>-1.8880000000000052</v>
      </c>
      <c r="W5" s="238">
        <f t="shared" si="5"/>
        <v>10</v>
      </c>
      <c r="X5" s="335">
        <f t="shared" si="6"/>
        <v>3</v>
      </c>
      <c r="Y5" s="335">
        <f t="shared" si="7"/>
        <v>6</v>
      </c>
      <c r="Z5" s="335">
        <f>IF($Y5="n/a","",_xlfn.IFERROR(COUNTIF($Y$2:$Y5,"="&amp;Y5),""))</f>
        <v>1</v>
      </c>
      <c r="AA5" s="335">
        <f>COUNTIF($X$2:X4,"&lt;"&amp;X5)</f>
        <v>0</v>
      </c>
      <c r="AB5" s="355">
        <f t="shared" si="8"/>
        <v>100</v>
      </c>
      <c r="AC5" s="69">
        <f t="shared" si="9"/>
        <v>110</v>
      </c>
      <c r="AE5" s="436" t="s">
        <v>55</v>
      </c>
      <c r="AF5" s="153" t="s">
        <v>157</v>
      </c>
      <c r="AG5" s="437">
        <v>0.0012143287037037038</v>
      </c>
    </row>
    <row r="6" spans="1:33" ht="12.75">
      <c r="A6" s="118">
        <v>62</v>
      </c>
      <c r="B6" s="35" t="s">
        <v>159</v>
      </c>
      <c r="C6" s="35" t="str">
        <f t="shared" si="10"/>
        <v>noel heritage</v>
      </c>
      <c r="D6" s="38" t="s">
        <v>21</v>
      </c>
      <c r="E6" s="228" t="s">
        <v>160</v>
      </c>
      <c r="F6" s="35"/>
      <c r="G6" s="38" t="s">
        <v>127</v>
      </c>
      <c r="H6" s="423">
        <f t="shared" si="11"/>
      </c>
      <c r="I6" s="423">
        <f t="shared" si="11"/>
      </c>
      <c r="J6" s="423">
        <f t="shared" si="11"/>
      </c>
      <c r="K6" s="423">
        <f t="shared" si="11"/>
      </c>
      <c r="L6" s="423">
        <f t="shared" si="11"/>
      </c>
      <c r="M6" s="423">
        <f t="shared" si="11"/>
        <v>100</v>
      </c>
      <c r="N6" s="423">
        <f t="shared" si="11"/>
      </c>
      <c r="O6" s="423">
        <f t="shared" si="11"/>
      </c>
      <c r="P6" s="423">
        <f t="shared" si="11"/>
      </c>
      <c r="Q6" s="423">
        <f t="shared" si="11"/>
      </c>
      <c r="R6" s="476">
        <f t="shared" si="11"/>
      </c>
      <c r="S6" s="37">
        <f t="shared" si="1"/>
        <v>100</v>
      </c>
      <c r="T6" s="118">
        <f t="shared" si="2"/>
        <v>0</v>
      </c>
      <c r="U6" s="376">
        <f t="shared" si="3"/>
        <v>105.558</v>
      </c>
      <c r="V6" s="364">
        <f t="shared" si="4"/>
        <v>0.0799999999999983</v>
      </c>
      <c r="W6" s="120">
        <f t="shared" si="5"/>
        <v>5</v>
      </c>
      <c r="X6" s="335">
        <f t="shared" si="6"/>
        <v>2</v>
      </c>
      <c r="Y6" s="335">
        <f t="shared" si="7"/>
        <v>4</v>
      </c>
      <c r="Z6" s="335">
        <f>IF($Y6="n/a","",_xlfn.IFERROR(COUNTIF($Y$2:$Y6,"="&amp;Y6),""))</f>
        <v>1</v>
      </c>
      <c r="AA6" s="335">
        <f>COUNTIF($X$2:X5,"&lt;"&amp;X6)</f>
        <v>0</v>
      </c>
      <c r="AB6" s="355">
        <f t="shared" si="8"/>
        <v>100</v>
      </c>
      <c r="AC6" s="69">
        <f t="shared" si="9"/>
        <v>105</v>
      </c>
      <c r="AE6" s="438" t="s">
        <v>22</v>
      </c>
      <c r="AF6" s="225" t="s">
        <v>253</v>
      </c>
      <c r="AG6" s="439">
        <v>0.0012158101851851852</v>
      </c>
    </row>
    <row r="7" spans="1:33" ht="12.75">
      <c r="A7" s="287">
        <v>26</v>
      </c>
      <c r="B7" s="288" t="s">
        <v>161</v>
      </c>
      <c r="C7" s="288" t="str">
        <f t="shared" si="10"/>
        <v>robert downes</v>
      </c>
      <c r="D7" s="235" t="s">
        <v>22</v>
      </c>
      <c r="E7" s="289" t="s">
        <v>162</v>
      </c>
      <c r="F7" s="288"/>
      <c r="G7" s="235" t="s">
        <v>163</v>
      </c>
      <c r="H7" s="422">
        <f t="shared" si="11"/>
      </c>
      <c r="I7" s="422">
        <f t="shared" si="11"/>
      </c>
      <c r="J7" s="422">
        <f t="shared" si="11"/>
      </c>
      <c r="K7" s="422">
        <f t="shared" si="11"/>
      </c>
      <c r="L7" s="422">
        <f t="shared" si="11"/>
      </c>
      <c r="M7" s="422">
        <f t="shared" si="11"/>
      </c>
      <c r="N7" s="422">
        <f t="shared" si="11"/>
        <v>100</v>
      </c>
      <c r="O7" s="422">
        <f t="shared" si="11"/>
      </c>
      <c r="P7" s="422">
        <f t="shared" si="11"/>
      </c>
      <c r="Q7" s="422">
        <f t="shared" si="11"/>
      </c>
      <c r="R7" s="477">
        <f t="shared" si="11"/>
      </c>
      <c r="S7" s="37">
        <f t="shared" si="1"/>
        <v>100</v>
      </c>
      <c r="T7" s="287">
        <f t="shared" si="2"/>
        <v>0</v>
      </c>
      <c r="U7" s="378">
        <f t="shared" si="3"/>
        <v>105.046</v>
      </c>
      <c r="V7" s="366">
        <f t="shared" si="4"/>
        <v>0.9310000000000116</v>
      </c>
      <c r="W7" s="236">
        <f t="shared" si="5"/>
        <v>5</v>
      </c>
      <c r="X7" s="335">
        <f t="shared" si="6"/>
        <v>2</v>
      </c>
      <c r="Y7" s="335">
        <f t="shared" si="7"/>
        <v>3</v>
      </c>
      <c r="Z7" s="335">
        <f>IF($Y7="n/a","",_xlfn.IFERROR(COUNTIF($Y$2:$Y7,"="&amp;Y7),""))</f>
        <v>1</v>
      </c>
      <c r="AA7" s="335">
        <f>COUNTIF($X$2:X6,"&lt;"&amp;X7)</f>
        <v>0</v>
      </c>
      <c r="AB7" s="355">
        <f t="shared" si="8"/>
        <v>100</v>
      </c>
      <c r="AC7" s="69">
        <f t="shared" si="9"/>
        <v>105</v>
      </c>
      <c r="AE7" s="440" t="s">
        <v>21</v>
      </c>
      <c r="AF7" s="46" t="s">
        <v>159</v>
      </c>
      <c r="AG7" s="441">
        <v>0.0012217361111111112</v>
      </c>
    </row>
    <row r="8" spans="1:33" ht="12.75">
      <c r="A8" s="116">
        <v>42</v>
      </c>
      <c r="B8" s="1" t="s">
        <v>164</v>
      </c>
      <c r="C8" s="1" t="str">
        <f t="shared" si="10"/>
        <v>andrew tate</v>
      </c>
      <c r="D8" s="8" t="s">
        <v>26</v>
      </c>
      <c r="E8" s="17" t="s">
        <v>165</v>
      </c>
      <c r="F8" s="1"/>
      <c r="G8" s="8" t="s">
        <v>129</v>
      </c>
      <c r="H8" s="417">
        <f t="shared" si="11"/>
      </c>
      <c r="I8" s="417">
        <f t="shared" si="11"/>
      </c>
      <c r="J8" s="417">
        <f t="shared" si="11"/>
      </c>
      <c r="K8" s="417">
        <f t="shared" si="11"/>
      </c>
      <c r="L8" s="417">
        <f t="shared" si="11"/>
      </c>
      <c r="M8" s="417">
        <f t="shared" si="11"/>
      </c>
      <c r="N8" s="417">
        <f t="shared" si="11"/>
      </c>
      <c r="O8" s="417">
        <f t="shared" si="11"/>
      </c>
      <c r="P8" s="417">
        <f t="shared" si="11"/>
      </c>
      <c r="Q8" s="417">
        <f t="shared" si="11"/>
      </c>
      <c r="R8" s="478">
        <f t="shared" si="11"/>
      </c>
      <c r="S8" s="37">
        <f t="shared" si="1"/>
        <v>0</v>
      </c>
      <c r="T8" s="333">
        <f t="shared" si="2"/>
        <v>0</v>
      </c>
      <c r="U8" s="186">
        <f t="shared" si="3"/>
      </c>
      <c r="V8" s="367"/>
      <c r="W8" s="117"/>
      <c r="X8" s="335" t="str">
        <f t="shared" si="6"/>
        <v>n/a</v>
      </c>
      <c r="Y8" s="335" t="str">
        <f t="shared" si="7"/>
        <v>n/a</v>
      </c>
      <c r="Z8" s="335">
        <f>IF($Y8="n/a","",_xlfn.IFERROR(COUNTIF($Y$2:$Y8,"="&amp;Y8),""))</f>
      </c>
      <c r="AA8" s="335">
        <f>COUNTIF($X$2:X7,"&lt;"&amp;X8)</f>
        <v>0</v>
      </c>
      <c r="AB8" s="355">
        <f t="shared" si="8"/>
        <v>0</v>
      </c>
      <c r="AC8" s="69">
        <f t="shared" si="9"/>
        <v>0</v>
      </c>
      <c r="AE8" s="442" t="s">
        <v>56</v>
      </c>
      <c r="AF8" s="463" t="s">
        <v>255</v>
      </c>
      <c r="AG8" s="467">
        <v>0.001313715277777778</v>
      </c>
    </row>
    <row r="9" spans="1:33" ht="12.75">
      <c r="A9" s="121">
        <v>612</v>
      </c>
      <c r="B9" s="54" t="s">
        <v>166</v>
      </c>
      <c r="C9" s="54" t="str">
        <f t="shared" si="10"/>
        <v>gareth pedley</v>
      </c>
      <c r="D9" s="55" t="s">
        <v>5</v>
      </c>
      <c r="E9" s="122" t="s">
        <v>167</v>
      </c>
      <c r="F9" s="54"/>
      <c r="G9" s="55" t="s">
        <v>168</v>
      </c>
      <c r="H9" s="424">
        <f t="shared" si="11"/>
      </c>
      <c r="I9" s="424">
        <f t="shared" si="11"/>
      </c>
      <c r="J9" s="424">
        <f t="shared" si="11"/>
      </c>
      <c r="K9" s="424">
        <f t="shared" si="11"/>
      </c>
      <c r="L9" s="424">
        <f t="shared" si="11"/>
      </c>
      <c r="M9" s="424">
        <f t="shared" si="11"/>
      </c>
      <c r="N9" s="424">
        <f t="shared" si="11"/>
      </c>
      <c r="O9" s="424">
        <f t="shared" si="11"/>
      </c>
      <c r="P9" s="424">
        <f t="shared" si="11"/>
      </c>
      <c r="Q9" s="424">
        <f t="shared" si="11"/>
        <v>100</v>
      </c>
      <c r="R9" s="479">
        <f t="shared" si="11"/>
      </c>
      <c r="S9" s="37">
        <f t="shared" si="1"/>
        <v>100</v>
      </c>
      <c r="T9" s="121">
        <f t="shared" si="2"/>
        <v>0</v>
      </c>
      <c r="U9" s="377">
        <f t="shared" si="3"/>
        <v>106.987</v>
      </c>
      <c r="V9" s="369">
        <f>(($E9*86400)-U9)</f>
        <v>0.6400000000000006</v>
      </c>
      <c r="W9" s="123">
        <f t="shared" si="5"/>
        <v>5</v>
      </c>
      <c r="X9" s="335">
        <f t="shared" si="6"/>
        <v>1</v>
      </c>
      <c r="Y9" s="335">
        <f t="shared" si="7"/>
        <v>2</v>
      </c>
      <c r="Z9" s="335">
        <f>IF($Y9="n/a","",_xlfn.IFERROR(COUNTIF($Y$2:$Y9,"="&amp;Y9),""))</f>
        <v>1</v>
      </c>
      <c r="AA9" s="335">
        <f>COUNTIF($X$2:X8,"&lt;"&amp;X9)</f>
        <v>0</v>
      </c>
      <c r="AB9" s="355">
        <f t="shared" si="8"/>
        <v>100</v>
      </c>
      <c r="AC9" s="69">
        <f t="shared" si="9"/>
        <v>105</v>
      </c>
      <c r="AE9" s="443" t="s">
        <v>57</v>
      </c>
      <c r="AF9" s="464" t="s">
        <v>153</v>
      </c>
      <c r="AG9" s="468">
        <v>0.0012725578703703703</v>
      </c>
    </row>
    <row r="10" spans="1:33" ht="12.75">
      <c r="A10" s="121">
        <v>77</v>
      </c>
      <c r="B10" s="54" t="s">
        <v>169</v>
      </c>
      <c r="C10" s="54" t="str">
        <f t="shared" si="10"/>
        <v>simeon ouzas</v>
      </c>
      <c r="D10" s="55" t="s">
        <v>5</v>
      </c>
      <c r="E10" s="122" t="s">
        <v>170</v>
      </c>
      <c r="F10" s="54"/>
      <c r="G10" s="55" t="s">
        <v>125</v>
      </c>
      <c r="H10" s="424">
        <f t="shared" si="11"/>
      </c>
      <c r="I10" s="424">
        <f t="shared" si="11"/>
      </c>
      <c r="J10" s="424">
        <f t="shared" si="11"/>
      </c>
      <c r="K10" s="424">
        <f t="shared" si="11"/>
      </c>
      <c r="L10" s="424">
        <f t="shared" si="11"/>
      </c>
      <c r="M10" s="424">
        <f t="shared" si="11"/>
      </c>
      <c r="N10" s="424">
        <f t="shared" si="11"/>
      </c>
      <c r="O10" s="424">
        <f t="shared" si="11"/>
      </c>
      <c r="P10" s="424">
        <f t="shared" si="11"/>
      </c>
      <c r="Q10" s="424">
        <f t="shared" si="11"/>
        <v>75</v>
      </c>
      <c r="R10" s="479">
        <f t="shared" si="11"/>
      </c>
      <c r="S10" s="37">
        <f t="shared" si="1"/>
        <v>75</v>
      </c>
      <c r="T10" s="121">
        <f t="shared" si="2"/>
        <v>0</v>
      </c>
      <c r="U10" s="377">
        <f t="shared" si="3"/>
        <v>106.987</v>
      </c>
      <c r="V10" s="369">
        <f>(($E10*86400)-U10)</f>
        <v>0.6420000000000101</v>
      </c>
      <c r="W10" s="123">
        <f>IF(V10&lt;=0,10,IF(V10&lt;1,5,IF(V10&lt;2,0,IF(V10&lt;3,-5,-10))))</f>
        <v>5</v>
      </c>
      <c r="X10" s="335">
        <f t="shared" si="6"/>
        <v>1</v>
      </c>
      <c r="Y10" s="335">
        <f t="shared" si="7"/>
        <v>2</v>
      </c>
      <c r="Z10" s="335">
        <f>IF($Y10="n/a","",_xlfn.IFERROR(COUNTIF($Y$2:$Y10,"="&amp;Y10),""))</f>
        <v>2</v>
      </c>
      <c r="AA10" s="335">
        <f>COUNTIF($X$2:X9,"&lt;"&amp;X10)</f>
        <v>0</v>
      </c>
      <c r="AB10" s="355">
        <f t="shared" si="8"/>
        <v>75</v>
      </c>
      <c r="AC10" s="69">
        <f t="shared" si="9"/>
        <v>80</v>
      </c>
      <c r="AE10" s="444" t="s">
        <v>16</v>
      </c>
      <c r="AF10" s="428" t="s">
        <v>256</v>
      </c>
      <c r="AG10" s="445">
        <v>0.0011281828703703703</v>
      </c>
    </row>
    <row r="11" spans="1:33" ht="12.75">
      <c r="A11" s="121">
        <v>21</v>
      </c>
      <c r="B11" s="63" t="s">
        <v>182</v>
      </c>
      <c r="C11" s="54" t="str">
        <f t="shared" si="10"/>
        <v>steve williamsz</v>
      </c>
      <c r="D11" s="55" t="s">
        <v>5</v>
      </c>
      <c r="E11" s="122" t="s">
        <v>171</v>
      </c>
      <c r="F11" s="54"/>
      <c r="G11" s="55" t="s">
        <v>172</v>
      </c>
      <c r="H11" s="424">
        <f t="shared" si="11"/>
      </c>
      <c r="I11" s="424">
        <f t="shared" si="11"/>
      </c>
      <c r="J11" s="424">
        <f t="shared" si="11"/>
      </c>
      <c r="K11" s="424">
        <f t="shared" si="11"/>
      </c>
      <c r="L11" s="424">
        <f t="shared" si="11"/>
      </c>
      <c r="M11" s="424">
        <f t="shared" si="11"/>
      </c>
      <c r="N11" s="424">
        <f t="shared" si="11"/>
      </c>
      <c r="O11" s="424">
        <f t="shared" si="11"/>
      </c>
      <c r="P11" s="424">
        <f t="shared" si="11"/>
      </c>
      <c r="Q11" s="424">
        <f t="shared" si="11"/>
        <v>60</v>
      </c>
      <c r="R11" s="479">
        <f t="shared" si="11"/>
      </c>
      <c r="S11" s="37">
        <f t="shared" si="1"/>
        <v>60</v>
      </c>
      <c r="T11" s="121">
        <f t="shared" si="2"/>
        <v>0</v>
      </c>
      <c r="U11" s="377">
        <f t="shared" si="3"/>
        <v>106.987</v>
      </c>
      <c r="V11" s="369">
        <f>(($E11*86400)-U11)</f>
        <v>0.7230000000000132</v>
      </c>
      <c r="W11" s="123">
        <f t="shared" si="5"/>
        <v>5</v>
      </c>
      <c r="X11" s="335">
        <f t="shared" si="6"/>
        <v>1</v>
      </c>
      <c r="Y11" s="335">
        <f t="shared" si="7"/>
        <v>2</v>
      </c>
      <c r="Z11" s="335">
        <f>IF($Y11="n/a","",_xlfn.IFERROR(COUNTIF($Y$2:$Y11,"="&amp;Y11),""))</f>
        <v>3</v>
      </c>
      <c r="AA11" s="335">
        <f>COUNTIF($X$2:X10,"&lt;"&amp;X11)</f>
        <v>0</v>
      </c>
      <c r="AB11" s="355">
        <f t="shared" si="8"/>
        <v>60</v>
      </c>
      <c r="AC11" s="69">
        <f t="shared" si="9"/>
        <v>65</v>
      </c>
      <c r="AE11" s="446" t="s">
        <v>13</v>
      </c>
      <c r="AF11" s="429" t="s">
        <v>189</v>
      </c>
      <c r="AG11" s="447">
        <v>0.001110150462962963</v>
      </c>
    </row>
    <row r="12" spans="1:33" ht="13.5" thickBot="1">
      <c r="A12" s="118">
        <v>32</v>
      </c>
      <c r="B12" s="35" t="s">
        <v>173</v>
      </c>
      <c r="C12" s="35" t="str">
        <f t="shared" si="10"/>
        <v>murray seymour</v>
      </c>
      <c r="D12" s="38" t="s">
        <v>21</v>
      </c>
      <c r="E12" s="228" t="s">
        <v>174</v>
      </c>
      <c r="F12" s="35"/>
      <c r="G12" s="38" t="s">
        <v>175</v>
      </c>
      <c r="H12" s="423">
        <f t="shared" si="11"/>
      </c>
      <c r="I12" s="423">
        <f t="shared" si="11"/>
      </c>
      <c r="J12" s="423">
        <f t="shared" si="11"/>
      </c>
      <c r="K12" s="423">
        <f t="shared" si="11"/>
      </c>
      <c r="L12" s="423">
        <f t="shared" si="11"/>
      </c>
      <c r="M12" s="423">
        <f t="shared" si="11"/>
        <v>75</v>
      </c>
      <c r="N12" s="423">
        <f t="shared" si="11"/>
      </c>
      <c r="O12" s="423">
        <f t="shared" si="11"/>
      </c>
      <c r="P12" s="423">
        <f t="shared" si="11"/>
      </c>
      <c r="Q12" s="423">
        <f t="shared" si="11"/>
      </c>
      <c r="R12" s="476">
        <f t="shared" si="11"/>
      </c>
      <c r="S12" s="37">
        <f t="shared" si="1"/>
        <v>75</v>
      </c>
      <c r="T12" s="118">
        <f t="shared" si="2"/>
        <v>-45</v>
      </c>
      <c r="U12" s="376">
        <f t="shared" si="3"/>
        <v>105.558</v>
      </c>
      <c r="V12" s="364">
        <f>(($E12*86400)-U12)</f>
        <v>3.015999999999991</v>
      </c>
      <c r="W12" s="120">
        <f t="shared" si="5"/>
        <v>-10</v>
      </c>
      <c r="X12" s="335">
        <f t="shared" si="6"/>
        <v>2</v>
      </c>
      <c r="Y12" s="335">
        <f t="shared" si="7"/>
        <v>4</v>
      </c>
      <c r="Z12" s="335">
        <f>IF($Y12="n/a","",_xlfn.IFERROR(COUNTIF($Y$2:$Y12,"="&amp;Y12),""))</f>
        <v>2</v>
      </c>
      <c r="AA12" s="335">
        <f>COUNTIF($X$2:X11,"&lt;"&amp;X12)</f>
        <v>3</v>
      </c>
      <c r="AB12" s="355">
        <f t="shared" si="8"/>
        <v>30</v>
      </c>
      <c r="AC12" s="69">
        <f t="shared" si="9"/>
        <v>20</v>
      </c>
      <c r="AE12" s="448" t="s">
        <v>14</v>
      </c>
      <c r="AF12" s="449" t="s">
        <v>258</v>
      </c>
      <c r="AG12" s="450">
        <v>0.0011213194444444445</v>
      </c>
    </row>
    <row r="13" spans="1:29" ht="13.5" thickBot="1">
      <c r="A13" s="179">
        <v>45</v>
      </c>
      <c r="B13" s="290" t="s">
        <v>176</v>
      </c>
      <c r="C13" s="290" t="str">
        <f t="shared" si="10"/>
        <v>john downes</v>
      </c>
      <c r="D13" s="180" t="s">
        <v>5</v>
      </c>
      <c r="E13" s="181" t="s">
        <v>177</v>
      </c>
      <c r="F13" s="290"/>
      <c r="G13" s="180" t="s">
        <v>129</v>
      </c>
      <c r="H13" s="480">
        <f t="shared" si="11"/>
      </c>
      <c r="I13" s="480">
        <f t="shared" si="11"/>
      </c>
      <c r="J13" s="480">
        <f t="shared" si="11"/>
      </c>
      <c r="K13" s="480">
        <f t="shared" si="11"/>
      </c>
      <c r="L13" s="480">
        <f t="shared" si="11"/>
      </c>
      <c r="M13" s="480">
        <f t="shared" si="11"/>
      </c>
      <c r="N13" s="480">
        <f t="shared" si="11"/>
      </c>
      <c r="O13" s="480">
        <f t="shared" si="11"/>
      </c>
      <c r="P13" s="480">
        <f t="shared" si="11"/>
      </c>
      <c r="Q13" s="480">
        <f t="shared" si="11"/>
        <v>45</v>
      </c>
      <c r="R13" s="481">
        <f t="shared" si="11"/>
      </c>
      <c r="S13" s="37">
        <f t="shared" si="1"/>
        <v>45</v>
      </c>
      <c r="T13" s="179">
        <f t="shared" si="2"/>
        <v>0</v>
      </c>
      <c r="U13" s="484">
        <f t="shared" si="3"/>
        <v>106.987</v>
      </c>
      <c r="V13" s="485">
        <f>(($E13*86400)-U13)</f>
        <v>3.358000000000004</v>
      </c>
      <c r="W13" s="182">
        <f t="shared" si="5"/>
        <v>-10</v>
      </c>
      <c r="X13" s="335">
        <f t="shared" si="6"/>
        <v>1</v>
      </c>
      <c r="Y13" s="335">
        <f t="shared" si="7"/>
        <v>2</v>
      </c>
      <c r="Z13" s="335">
        <f>IF($Y13="n/a","",_xlfn.IFERROR(COUNTIF($Y$2:$Y13,"="&amp;Y13),""))</f>
        <v>4</v>
      </c>
      <c r="AA13" s="335">
        <f>COUNTIF($X$2:X12,"&lt;"&amp;X13)</f>
        <v>0</v>
      </c>
      <c r="AB13" s="355">
        <f t="shared" si="8"/>
        <v>45</v>
      </c>
      <c r="AC13" s="69">
        <f t="shared" si="9"/>
        <v>35</v>
      </c>
    </row>
    <row r="14" spans="6:29" ht="13.5" thickBot="1">
      <c r="F14" s="298"/>
      <c r="G14" s="303" t="s">
        <v>29</v>
      </c>
      <c r="H14" s="304">
        <f>COUNT(H2:H13)</f>
        <v>0</v>
      </c>
      <c r="I14" s="304">
        <f aca="true" t="shared" si="12" ref="I14:R14">COUNT(I2:I13)</f>
        <v>1</v>
      </c>
      <c r="J14" s="304">
        <f t="shared" si="12"/>
        <v>1</v>
      </c>
      <c r="K14" s="304">
        <f t="shared" si="12"/>
        <v>1</v>
      </c>
      <c r="L14" s="304">
        <f t="shared" si="12"/>
        <v>0</v>
      </c>
      <c r="M14" s="304">
        <f t="shared" si="12"/>
        <v>2</v>
      </c>
      <c r="N14" s="304">
        <f t="shared" si="12"/>
        <v>1</v>
      </c>
      <c r="O14" s="304">
        <f t="shared" si="12"/>
        <v>1</v>
      </c>
      <c r="P14" s="304">
        <f t="shared" si="12"/>
        <v>0</v>
      </c>
      <c r="Q14" s="304">
        <f t="shared" si="12"/>
        <v>4</v>
      </c>
      <c r="R14" s="304">
        <f t="shared" si="12"/>
        <v>0</v>
      </c>
      <c r="S14" s="207">
        <f>COUNT(S2:S13)</f>
        <v>12</v>
      </c>
      <c r="T14" s="379"/>
      <c r="U14" s="379"/>
      <c r="V14" s="352"/>
      <c r="W14" s="379"/>
      <c r="X14" s="379"/>
      <c r="Y14" s="379"/>
      <c r="Z14" s="379"/>
      <c r="AA14" s="379"/>
      <c r="AB14" s="379"/>
      <c r="AC14" s="379"/>
    </row>
    <row r="15" spans="20:29" ht="12.75">
      <c r="T15" s="8"/>
      <c r="U15" s="1"/>
      <c r="V15" s="352"/>
      <c r="W15" s="1"/>
      <c r="X15" s="8"/>
      <c r="Y15" s="8"/>
      <c r="Z15" s="8"/>
      <c r="AA15" s="8"/>
      <c r="AB15" s="8"/>
      <c r="AC15" s="1"/>
    </row>
    <row r="16" spans="2:28" ht="12.75">
      <c r="B16" s="2"/>
      <c r="C16" s="2"/>
      <c r="D16" s="126"/>
      <c r="T16" s="126"/>
      <c r="X16" s="126"/>
      <c r="Y16" s="126"/>
      <c r="Z16" s="126"/>
      <c r="AA16" s="126"/>
      <c r="AB16" s="126"/>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G27"/>
  <sheetViews>
    <sheetView zoomScale="90" zoomScaleNormal="90" zoomScalePageLayoutView="0" workbookViewId="0" topLeftCell="A1">
      <selection activeCell="Q13" sqref="Q13"/>
    </sheetView>
  </sheetViews>
  <sheetFormatPr defaultColWidth="9.140625" defaultRowHeight="12.75"/>
  <cols>
    <col min="1" max="1" width="8.140625" style="124" customWidth="1"/>
    <col min="2" max="2" width="18.8515625" style="125" customWidth="1"/>
    <col min="3" max="3" width="20.8515625" style="125" hidden="1" customWidth="1"/>
    <col min="4" max="4" width="7.7109375" style="125" bestFit="1" customWidth="1"/>
    <col min="5" max="5" width="9.7109375" style="125" customWidth="1"/>
    <col min="6" max="6" width="14.28125" style="125" bestFit="1" customWidth="1"/>
    <col min="7" max="7" width="9.28125" style="125" bestFit="1" customWidth="1"/>
    <col min="8" max="18" width="7.7109375" style="125" customWidth="1"/>
    <col min="19" max="20" width="6.7109375" style="125" customWidth="1"/>
    <col min="21" max="21" width="8.28125" style="0" customWidth="1"/>
    <col min="22" max="22" width="8.8515625" style="185" customWidth="1"/>
    <col min="23" max="23" width="8.8515625" style="0" customWidth="1"/>
    <col min="24" max="24" width="14.28125" style="125" hidden="1" customWidth="1"/>
    <col min="25" max="27" width="8.8515625" style="125" hidden="1" customWidth="1"/>
    <col min="28" max="28" width="10.8515625" style="125" hidden="1" customWidth="1"/>
    <col min="29" max="29" width="8.8515625" style="0" customWidth="1"/>
    <col min="30" max="31" width="8.8515625" style="125" customWidth="1"/>
    <col min="32" max="32" width="16.7109375" style="125" bestFit="1" customWidth="1"/>
    <col min="33" max="33" width="9.28125" style="125" bestFit="1" customWidth="1"/>
    <col min="34" max="16384" width="8.8515625" style="125" customWidth="1"/>
  </cols>
  <sheetData>
    <row r="1" spans="1:33" s="124" customFormat="1" ht="42.75" customHeight="1" thickBot="1">
      <c r="A1" s="208" t="s">
        <v>23</v>
      </c>
      <c r="B1" s="280" t="s">
        <v>1</v>
      </c>
      <c r="C1" s="202" t="s">
        <v>1</v>
      </c>
      <c r="D1" s="202" t="s">
        <v>2</v>
      </c>
      <c r="E1" s="209" t="s">
        <v>24</v>
      </c>
      <c r="F1" s="203"/>
      <c r="G1" s="203" t="s">
        <v>25</v>
      </c>
      <c r="H1" s="322" t="s">
        <v>14</v>
      </c>
      <c r="I1" s="323" t="s">
        <v>13</v>
      </c>
      <c r="J1" s="324" t="s">
        <v>16</v>
      </c>
      <c r="K1" s="325" t="s">
        <v>57</v>
      </c>
      <c r="L1" s="326" t="s">
        <v>56</v>
      </c>
      <c r="M1" s="327" t="s">
        <v>21</v>
      </c>
      <c r="N1" s="328" t="s">
        <v>22</v>
      </c>
      <c r="O1" s="329" t="s">
        <v>55</v>
      </c>
      <c r="P1" s="330" t="s">
        <v>4</v>
      </c>
      <c r="Q1" s="331" t="s">
        <v>5</v>
      </c>
      <c r="R1" s="332" t="s">
        <v>3</v>
      </c>
      <c r="S1" s="184" t="s">
        <v>118</v>
      </c>
      <c r="T1" s="343" t="s">
        <v>240</v>
      </c>
      <c r="U1" s="343" t="s">
        <v>95</v>
      </c>
      <c r="V1" s="354" t="s">
        <v>96</v>
      </c>
      <c r="W1" s="344" t="s">
        <v>117</v>
      </c>
      <c r="X1" s="334" t="s">
        <v>238</v>
      </c>
      <c r="Y1" s="334" t="s">
        <v>2</v>
      </c>
      <c r="Z1" s="334" t="s">
        <v>242</v>
      </c>
      <c r="AA1" s="334" t="s">
        <v>234</v>
      </c>
      <c r="AB1" s="334" t="s">
        <v>239</v>
      </c>
      <c r="AC1" s="184" t="s">
        <v>243</v>
      </c>
      <c r="AE1" s="534" t="s">
        <v>260</v>
      </c>
      <c r="AF1" s="534"/>
      <c r="AG1" s="534"/>
    </row>
    <row r="2" spans="1:33" ht="12.75">
      <c r="A2" s="299">
        <v>89</v>
      </c>
      <c r="B2" s="305" t="s">
        <v>184</v>
      </c>
      <c r="C2" s="305" t="str">
        <f aca="true" t="shared" si="0" ref="C2:C24">LOWER(B2)</f>
        <v>dave moore</v>
      </c>
      <c r="D2" s="242" t="s">
        <v>14</v>
      </c>
      <c r="E2" s="316" t="s">
        <v>185</v>
      </c>
      <c r="F2" s="316"/>
      <c r="G2" s="242" t="s">
        <v>79</v>
      </c>
      <c r="H2" s="416">
        <f>IF($D2=H$1,$S2,"")</f>
        <v>100</v>
      </c>
      <c r="I2" s="416">
        <f aca="true" t="shared" si="1" ref="I2:R6">IF($D2=I$1,$S2,"")</f>
      </c>
      <c r="J2" s="416">
        <f t="shared" si="1"/>
      </c>
      <c r="K2" s="416">
        <f t="shared" si="1"/>
      </c>
      <c r="L2" s="416">
        <f t="shared" si="1"/>
      </c>
      <c r="M2" s="416">
        <f t="shared" si="1"/>
      </c>
      <c r="N2" s="416">
        <f t="shared" si="1"/>
      </c>
      <c r="O2" s="416">
        <f t="shared" si="1"/>
      </c>
      <c r="P2" s="416">
        <f t="shared" si="1"/>
      </c>
      <c r="Q2" s="416">
        <f t="shared" si="1"/>
      </c>
      <c r="R2" s="416">
        <f t="shared" si="1"/>
      </c>
      <c r="S2" s="272">
        <f aca="true" t="shared" si="2" ref="S2:S24">_xlfn.IFERROR(VLOOKUP($Z2,Points,2,0),0)</f>
        <v>100</v>
      </c>
      <c r="T2" s="299">
        <f aca="true" t="shared" si="3" ref="T2:T24">AB2-S2</f>
        <v>0</v>
      </c>
      <c r="U2" s="380">
        <f aca="true" t="shared" si="4" ref="U2:U24">_xlfn.IFERROR(VLOOKUP(D2,BenchmarksRd4,3,0)*86400,"")</f>
        <v>83.047</v>
      </c>
      <c r="V2" s="381">
        <f>(($E2*86400)-U2)</f>
        <v>2.6029999999999944</v>
      </c>
      <c r="W2" s="243">
        <f>IF(V2&lt;=0,10,IF(V2&lt;1,5,IF(V2&lt;2,0,IF(V2&lt;3,-5,-10))))</f>
        <v>-5</v>
      </c>
      <c r="X2" s="382">
        <f aca="true" t="shared" si="5" ref="X2:X24">_xlfn.IFERROR(VLOOKUP(D2,Class,4,0),"n/a")</f>
        <v>7</v>
      </c>
      <c r="Y2" s="382">
        <f aca="true" t="shared" si="6" ref="Y2:Y24">_xlfn.IFERROR(VLOOKUP(D2,Class,3,0),"n/a")</f>
        <v>11</v>
      </c>
      <c r="Z2" s="382">
        <f>IF($Y2="n/a","",_xlfn.IFERROR(COUNTIF($Y$2:$Y2,"="&amp;Y2),""))</f>
        <v>1</v>
      </c>
      <c r="AA2" s="382">
        <f>COUNTIF($X1:X$2,"&lt;"&amp;X2)</f>
        <v>0</v>
      </c>
      <c r="AB2" s="414">
        <f aca="true" t="shared" si="7" ref="AB2:AB24">IF($Y2="n/a",0,_xlfn.IFERROR(VLOOKUP(Z2+AA2,Points,2,0),15))</f>
        <v>100</v>
      </c>
      <c r="AC2" s="276">
        <f aca="true" t="shared" si="8" ref="AC2:AC24">(S2+T2+W2)</f>
        <v>95</v>
      </c>
      <c r="AE2" s="430" t="s">
        <v>3</v>
      </c>
      <c r="AF2" s="425" t="s">
        <v>161</v>
      </c>
      <c r="AG2" s="431">
        <v>0.0011239236111111111</v>
      </c>
    </row>
    <row r="3" spans="1:33" ht="12.75">
      <c r="A3" s="333">
        <v>724</v>
      </c>
      <c r="B3" s="5" t="s">
        <v>186</v>
      </c>
      <c r="C3" s="5" t="str">
        <f t="shared" si="0"/>
        <v>dean monik</v>
      </c>
      <c r="D3" s="4"/>
      <c r="E3" s="7" t="s">
        <v>187</v>
      </c>
      <c r="F3" s="7"/>
      <c r="G3" s="12" t="s">
        <v>188</v>
      </c>
      <c r="H3" s="417">
        <f>IF($D3=H$1,$S3,"")</f>
      </c>
      <c r="I3" s="417">
        <f t="shared" si="1"/>
      </c>
      <c r="J3" s="417">
        <f t="shared" si="1"/>
      </c>
      <c r="K3" s="417">
        <f t="shared" si="1"/>
      </c>
      <c r="L3" s="417">
        <f t="shared" si="1"/>
      </c>
      <c r="M3" s="417">
        <f t="shared" si="1"/>
      </c>
      <c r="N3" s="417">
        <f t="shared" si="1"/>
      </c>
      <c r="O3" s="417">
        <f t="shared" si="1"/>
      </c>
      <c r="P3" s="417">
        <f t="shared" si="1"/>
      </c>
      <c r="Q3" s="417">
        <f t="shared" si="1"/>
      </c>
      <c r="R3" s="417">
        <f t="shared" si="1"/>
      </c>
      <c r="S3" s="115">
        <f t="shared" si="2"/>
        <v>0</v>
      </c>
      <c r="T3" s="333">
        <f t="shared" si="3"/>
        <v>0</v>
      </c>
      <c r="U3" s="186">
        <f t="shared" si="4"/>
      </c>
      <c r="V3" s="352"/>
      <c r="W3" s="117"/>
      <c r="X3" s="335" t="str">
        <f t="shared" si="5"/>
        <v>n/a</v>
      </c>
      <c r="Y3" s="335" t="str">
        <f t="shared" si="6"/>
        <v>n/a</v>
      </c>
      <c r="Z3" s="335">
        <f>IF($Y3="n/a","",_xlfn.IFERROR(COUNTIF($Y$2:$Y3,"="&amp;Y3),""))</f>
      </c>
      <c r="AA3" s="335">
        <f>COUNTIF($X$2:X2,"&lt;"&amp;X3)</f>
        <v>0</v>
      </c>
      <c r="AB3" s="355">
        <f t="shared" si="7"/>
        <v>0</v>
      </c>
      <c r="AC3" s="69">
        <f t="shared" si="8"/>
        <v>0</v>
      </c>
      <c r="AE3" s="432" t="s">
        <v>5</v>
      </c>
      <c r="AF3" s="426" t="s">
        <v>250</v>
      </c>
      <c r="AG3" s="452">
        <v>0.001100925925925926</v>
      </c>
    </row>
    <row r="4" spans="1:33" ht="12.75">
      <c r="A4" s="127">
        <v>39</v>
      </c>
      <c r="B4" s="73" t="s">
        <v>189</v>
      </c>
      <c r="C4" s="73" t="str">
        <f t="shared" si="0"/>
        <v>paul ledwith</v>
      </c>
      <c r="D4" s="77" t="s">
        <v>13</v>
      </c>
      <c r="E4" s="128" t="s">
        <v>190</v>
      </c>
      <c r="F4" s="128"/>
      <c r="G4" s="77" t="s">
        <v>175</v>
      </c>
      <c r="H4" s="79">
        <f>IF($D4=H$1,$S4,"")</f>
      </c>
      <c r="I4" s="79">
        <f t="shared" si="1"/>
        <v>100</v>
      </c>
      <c r="J4" s="79">
        <f t="shared" si="1"/>
      </c>
      <c r="K4" s="79">
        <f t="shared" si="1"/>
      </c>
      <c r="L4" s="79">
        <f t="shared" si="1"/>
      </c>
      <c r="M4" s="79">
        <f t="shared" si="1"/>
      </c>
      <c r="N4" s="79">
        <f t="shared" si="1"/>
      </c>
      <c r="O4" s="79">
        <f t="shared" si="1"/>
      </c>
      <c r="P4" s="79">
        <f t="shared" si="1"/>
      </c>
      <c r="Q4" s="79">
        <f t="shared" si="1"/>
      </c>
      <c r="R4" s="79">
        <f t="shared" si="1"/>
      </c>
      <c r="S4" s="115">
        <f t="shared" si="2"/>
        <v>100</v>
      </c>
      <c r="T4" s="127">
        <f t="shared" si="3"/>
        <v>0</v>
      </c>
      <c r="U4" s="462">
        <f t="shared" si="4"/>
        <v>84.987</v>
      </c>
      <c r="V4" s="356">
        <f>(($E2*86400)-U2)</f>
        <v>2.6029999999999944</v>
      </c>
      <c r="W4" s="129">
        <f>IF(V2&lt;=0,10,IF(V2&lt;1,5,IF(V2&lt;2,0,IF(V2&lt;3,-5,-10))))</f>
        <v>-5</v>
      </c>
      <c r="X4" s="335">
        <f t="shared" si="5"/>
        <v>6</v>
      </c>
      <c r="Y4" s="335">
        <f t="shared" si="6"/>
        <v>10</v>
      </c>
      <c r="Z4" s="335">
        <f>IF($Y4="n/a","",_xlfn.IFERROR(COUNTIF($Y$2:$Y4,"="&amp;Y4),""))</f>
        <v>1</v>
      </c>
      <c r="AA4" s="335">
        <f>COUNTIF($X$2:X3,"&lt;"&amp;X4)</f>
        <v>0</v>
      </c>
      <c r="AB4" s="355">
        <f t="shared" si="7"/>
        <v>100</v>
      </c>
      <c r="AC4" s="69">
        <f t="shared" si="8"/>
        <v>95</v>
      </c>
      <c r="AE4" s="434" t="s">
        <v>4</v>
      </c>
      <c r="AF4" s="161" t="s">
        <v>251</v>
      </c>
      <c r="AG4" s="453">
        <v>0.0010593518518518517</v>
      </c>
    </row>
    <row r="5" spans="1:33" ht="12.75">
      <c r="A5" s="333">
        <v>124</v>
      </c>
      <c r="B5" s="5" t="s">
        <v>191</v>
      </c>
      <c r="C5" s="5" t="str">
        <f t="shared" si="0"/>
        <v>ray monik</v>
      </c>
      <c r="D5" s="12" t="s">
        <v>26</v>
      </c>
      <c r="E5" s="7" t="s">
        <v>192</v>
      </c>
      <c r="F5" s="7"/>
      <c r="G5" s="12" t="s">
        <v>193</v>
      </c>
      <c r="H5" s="417">
        <f>IF($D5=H$1,$S5,"")</f>
      </c>
      <c r="I5" s="417">
        <f t="shared" si="1"/>
      </c>
      <c r="J5" s="417">
        <f t="shared" si="1"/>
      </c>
      <c r="K5" s="417">
        <f t="shared" si="1"/>
      </c>
      <c r="L5" s="417">
        <f t="shared" si="1"/>
      </c>
      <c r="M5" s="417">
        <f t="shared" si="1"/>
      </c>
      <c r="N5" s="417">
        <f t="shared" si="1"/>
      </c>
      <c r="O5" s="417">
        <f t="shared" si="1"/>
      </c>
      <c r="P5" s="417">
        <f t="shared" si="1"/>
      </c>
      <c r="Q5" s="417">
        <f t="shared" si="1"/>
      </c>
      <c r="R5" s="417">
        <f t="shared" si="1"/>
      </c>
      <c r="S5" s="115">
        <f t="shared" si="2"/>
        <v>0</v>
      </c>
      <c r="T5" s="333">
        <f t="shared" si="3"/>
        <v>0</v>
      </c>
      <c r="U5" s="186">
        <f t="shared" si="4"/>
      </c>
      <c r="V5" s="352"/>
      <c r="W5" s="117"/>
      <c r="X5" s="335" t="str">
        <f t="shared" si="5"/>
        <v>n/a</v>
      </c>
      <c r="Y5" s="335" t="str">
        <f t="shared" si="6"/>
        <v>n/a</v>
      </c>
      <c r="Z5" s="335">
        <f>IF($Y5="n/a","",_xlfn.IFERROR(COUNTIF($Y$2:$Y5,"="&amp;Y5),""))</f>
      </c>
      <c r="AA5" s="335">
        <f>COUNTIF($X$2:X4,"&lt;"&amp;X5)</f>
        <v>0</v>
      </c>
      <c r="AB5" s="355">
        <f t="shared" si="7"/>
        <v>0</v>
      </c>
      <c r="AC5" s="69">
        <f t="shared" si="8"/>
        <v>0</v>
      </c>
      <c r="AE5" s="436" t="s">
        <v>55</v>
      </c>
      <c r="AF5" s="153" t="s">
        <v>252</v>
      </c>
      <c r="AG5" s="454">
        <v>0.0010967592592592593</v>
      </c>
    </row>
    <row r="6" spans="1:33" ht="12.75">
      <c r="A6" s="115">
        <v>50</v>
      </c>
      <c r="B6" s="286" t="s">
        <v>153</v>
      </c>
      <c r="C6" s="286" t="str">
        <f t="shared" si="0"/>
        <v>alan conrad</v>
      </c>
      <c r="D6" s="37" t="s">
        <v>57</v>
      </c>
      <c r="E6" s="188" t="s">
        <v>213</v>
      </c>
      <c r="F6" s="188" t="s">
        <v>97</v>
      </c>
      <c r="G6" s="37" t="s">
        <v>214</v>
      </c>
      <c r="H6" s="419">
        <f>IF($D6=H$1,$S6,"")</f>
      </c>
      <c r="I6" s="419">
        <f t="shared" si="1"/>
      </c>
      <c r="J6" s="419">
        <f t="shared" si="1"/>
      </c>
      <c r="K6" s="419">
        <f t="shared" si="1"/>
        <v>100</v>
      </c>
      <c r="L6" s="419">
        <f t="shared" si="1"/>
      </c>
      <c r="M6" s="419">
        <f t="shared" si="1"/>
      </c>
      <c r="N6" s="419">
        <f t="shared" si="1"/>
      </c>
      <c r="O6" s="419">
        <f t="shared" si="1"/>
      </c>
      <c r="P6" s="419">
        <f t="shared" si="1"/>
      </c>
      <c r="Q6" s="419">
        <f t="shared" si="1"/>
      </c>
      <c r="R6" s="419">
        <f t="shared" si="1"/>
      </c>
      <c r="S6" s="115">
        <f t="shared" si="2"/>
        <v>100</v>
      </c>
      <c r="T6" s="115">
        <f t="shared" si="3"/>
        <v>0</v>
      </c>
      <c r="U6" s="373">
        <f t="shared" si="4"/>
        <v>0</v>
      </c>
      <c r="V6" s="360"/>
      <c r="W6" s="69">
        <v>0</v>
      </c>
      <c r="X6" s="335">
        <f t="shared" si="5"/>
        <v>4</v>
      </c>
      <c r="Y6" s="335">
        <f t="shared" si="6"/>
        <v>8</v>
      </c>
      <c r="Z6" s="335">
        <f>IF($Y6="n/a","",_xlfn.IFERROR(COUNTIF($Y$2:$Y6,"="&amp;Y6),""))</f>
        <v>1</v>
      </c>
      <c r="AA6" s="335">
        <f>COUNTIF($X$2:X5,"&lt;"&amp;X6)</f>
        <v>0</v>
      </c>
      <c r="AB6" s="355">
        <f t="shared" si="7"/>
        <v>100</v>
      </c>
      <c r="AC6" s="69">
        <f t="shared" si="8"/>
        <v>100</v>
      </c>
      <c r="AE6" s="438" t="s">
        <v>22</v>
      </c>
      <c r="AF6" s="225" t="s">
        <v>161</v>
      </c>
      <c r="AG6" s="455">
        <v>0.0011213541666666665</v>
      </c>
    </row>
    <row r="7" spans="1:33" ht="12.75">
      <c r="A7" s="333">
        <v>37</v>
      </c>
      <c r="B7" s="5" t="s">
        <v>233</v>
      </c>
      <c r="C7" s="5" t="str">
        <f t="shared" si="0"/>
        <v>peter bolton</v>
      </c>
      <c r="D7" s="12" t="s">
        <v>26</v>
      </c>
      <c r="E7" s="7" t="s">
        <v>194</v>
      </c>
      <c r="F7" s="7"/>
      <c r="G7" s="12" t="s">
        <v>195</v>
      </c>
      <c r="H7" s="417">
        <f aca="true" t="shared" si="9" ref="H7:R24">IF($D7=H$1,$S7,"")</f>
      </c>
      <c r="I7" s="417">
        <f t="shared" si="9"/>
      </c>
      <c r="J7" s="417">
        <f t="shared" si="9"/>
      </c>
      <c r="K7" s="417">
        <f t="shared" si="9"/>
      </c>
      <c r="L7" s="417">
        <f t="shared" si="9"/>
      </c>
      <c r="M7" s="417">
        <f t="shared" si="9"/>
      </c>
      <c r="N7" s="417">
        <f t="shared" si="9"/>
      </c>
      <c r="O7" s="417">
        <f t="shared" si="9"/>
      </c>
      <c r="P7" s="417">
        <f t="shared" si="9"/>
      </c>
      <c r="Q7" s="417">
        <f t="shared" si="9"/>
      </c>
      <c r="R7" s="417">
        <f t="shared" si="9"/>
      </c>
      <c r="S7" s="115">
        <f t="shared" si="2"/>
        <v>0</v>
      </c>
      <c r="T7" s="333">
        <f t="shared" si="3"/>
        <v>0</v>
      </c>
      <c r="U7" s="186">
        <f t="shared" si="4"/>
      </c>
      <c r="V7" s="352"/>
      <c r="W7" s="117"/>
      <c r="X7" s="335" t="str">
        <f t="shared" si="5"/>
        <v>n/a</v>
      </c>
      <c r="Y7" s="335" t="str">
        <f t="shared" si="6"/>
        <v>n/a</v>
      </c>
      <c r="Z7" s="335">
        <f>IF($Y7="n/a","",_xlfn.IFERROR(COUNTIF($Y$2:$Y7,"="&amp;Y7),""))</f>
      </c>
      <c r="AA7" s="335">
        <f>COUNTIF($X$2:X6,"&lt;"&amp;X7)</f>
        <v>0</v>
      </c>
      <c r="AB7" s="355">
        <f t="shared" si="7"/>
        <v>0</v>
      </c>
      <c r="AC7" s="69">
        <f t="shared" si="8"/>
        <v>0</v>
      </c>
      <c r="AE7" s="440" t="s">
        <v>21</v>
      </c>
      <c r="AF7" s="46" t="s">
        <v>254</v>
      </c>
      <c r="AG7" s="456">
        <v>0.0010919907407407408</v>
      </c>
    </row>
    <row r="8" spans="1:33" ht="12.75">
      <c r="A8" s="333">
        <v>79</v>
      </c>
      <c r="B8" s="5" t="s">
        <v>196</v>
      </c>
      <c r="C8" s="5" t="str">
        <f t="shared" si="0"/>
        <v>dean hasnat</v>
      </c>
      <c r="D8" s="12" t="s">
        <v>26</v>
      </c>
      <c r="E8" s="532" t="s">
        <v>197</v>
      </c>
      <c r="F8" s="531"/>
      <c r="G8" s="12" t="s">
        <v>193</v>
      </c>
      <c r="H8" s="417">
        <f t="shared" si="9"/>
      </c>
      <c r="I8" s="417">
        <f t="shared" si="9"/>
      </c>
      <c r="J8" s="417">
        <f t="shared" si="9"/>
      </c>
      <c r="K8" s="417">
        <f t="shared" si="9"/>
      </c>
      <c r="L8" s="417">
        <f t="shared" si="9"/>
      </c>
      <c r="M8" s="417">
        <f t="shared" si="9"/>
      </c>
      <c r="N8" s="417">
        <f t="shared" si="9"/>
      </c>
      <c r="O8" s="417">
        <f t="shared" si="9"/>
      </c>
      <c r="P8" s="417">
        <f t="shared" si="9"/>
      </c>
      <c r="Q8" s="417">
        <f t="shared" si="9"/>
      </c>
      <c r="R8" s="417">
        <f t="shared" si="9"/>
      </c>
      <c r="S8" s="115">
        <f t="shared" si="2"/>
        <v>0</v>
      </c>
      <c r="T8" s="333">
        <f t="shared" si="3"/>
        <v>0</v>
      </c>
      <c r="U8" s="186">
        <f t="shared" si="4"/>
      </c>
      <c r="V8" s="367"/>
      <c r="W8" s="117">
        <v>0</v>
      </c>
      <c r="X8" s="335" t="str">
        <f t="shared" si="5"/>
        <v>n/a</v>
      </c>
      <c r="Y8" s="335" t="str">
        <f t="shared" si="6"/>
        <v>n/a</v>
      </c>
      <c r="Z8" s="335">
        <f>IF($Y8="n/a","",_xlfn.IFERROR(COUNTIF($Y$2:$Y8,"="&amp;Y8),""))</f>
      </c>
      <c r="AA8" s="335">
        <f>COUNTIF($X$2:X7,"&lt;"&amp;X8)</f>
        <v>0</v>
      </c>
      <c r="AB8" s="355">
        <f t="shared" si="7"/>
        <v>0</v>
      </c>
      <c r="AC8" s="69">
        <f t="shared" si="8"/>
        <v>0</v>
      </c>
      <c r="AE8" s="442" t="s">
        <v>56</v>
      </c>
      <c r="AF8" s="345"/>
      <c r="AG8" s="457"/>
    </row>
    <row r="9" spans="1:33" ht="12.75">
      <c r="A9" s="268">
        <v>21</v>
      </c>
      <c r="B9" s="345" t="s">
        <v>225</v>
      </c>
      <c r="C9" s="345" t="str">
        <f t="shared" si="0"/>
        <v>gavin newman</v>
      </c>
      <c r="D9" s="36" t="s">
        <v>56</v>
      </c>
      <c r="E9" s="346" t="s">
        <v>226</v>
      </c>
      <c r="F9" s="346" t="s">
        <v>97</v>
      </c>
      <c r="G9" s="36" t="s">
        <v>125</v>
      </c>
      <c r="H9" s="418">
        <f t="shared" si="9"/>
      </c>
      <c r="I9" s="418">
        <f t="shared" si="9"/>
      </c>
      <c r="J9" s="418">
        <f t="shared" si="9"/>
      </c>
      <c r="K9" s="418">
        <f t="shared" si="9"/>
      </c>
      <c r="L9" s="418">
        <f t="shared" si="9"/>
        <v>100</v>
      </c>
      <c r="M9" s="418">
        <f t="shared" si="9"/>
      </c>
      <c r="N9" s="418">
        <f t="shared" si="9"/>
      </c>
      <c r="O9" s="418">
        <f t="shared" si="9"/>
      </c>
      <c r="P9" s="418">
        <f t="shared" si="9"/>
      </c>
      <c r="Q9" s="418">
        <f t="shared" si="9"/>
      </c>
      <c r="R9" s="418">
        <f t="shared" si="9"/>
      </c>
      <c r="S9" s="115">
        <f t="shared" si="2"/>
        <v>100</v>
      </c>
      <c r="T9" s="268">
        <f t="shared" si="3"/>
        <v>0</v>
      </c>
      <c r="U9" s="374">
        <f t="shared" si="4"/>
        <v>0</v>
      </c>
      <c r="V9" s="358"/>
      <c r="W9" s="237">
        <v>0</v>
      </c>
      <c r="X9" s="335">
        <f t="shared" si="5"/>
        <v>4</v>
      </c>
      <c r="Y9" s="335">
        <f t="shared" si="6"/>
        <v>7</v>
      </c>
      <c r="Z9" s="335">
        <f>IF($Y9="n/a","",_xlfn.IFERROR(COUNTIF($Y$2:$Y9,"="&amp;Y9),""))</f>
        <v>1</v>
      </c>
      <c r="AA9" s="335">
        <f>COUNTIF($X$2:X8,"&lt;"&amp;X9)</f>
        <v>0</v>
      </c>
      <c r="AB9" s="355">
        <f t="shared" si="7"/>
        <v>100</v>
      </c>
      <c r="AC9" s="69">
        <f t="shared" si="8"/>
        <v>100</v>
      </c>
      <c r="AE9" s="443" t="s">
        <v>57</v>
      </c>
      <c r="AF9" s="286"/>
      <c r="AG9" s="458"/>
    </row>
    <row r="10" spans="1:33" ht="12.75">
      <c r="A10" s="347">
        <v>88</v>
      </c>
      <c r="B10" s="348" t="s">
        <v>157</v>
      </c>
      <c r="C10" s="348" t="str">
        <f t="shared" si="0"/>
        <v>randy stagno navarra</v>
      </c>
      <c r="D10" s="349" t="s">
        <v>55</v>
      </c>
      <c r="E10" s="350" t="s">
        <v>215</v>
      </c>
      <c r="F10" s="350" t="s">
        <v>97</v>
      </c>
      <c r="G10" s="349" t="s">
        <v>129</v>
      </c>
      <c r="H10" s="420">
        <f t="shared" si="9"/>
      </c>
      <c r="I10" s="420">
        <f t="shared" si="9"/>
      </c>
      <c r="J10" s="420">
        <f t="shared" si="9"/>
      </c>
      <c r="K10" s="420">
        <f t="shared" si="9"/>
      </c>
      <c r="L10" s="420">
        <f t="shared" si="9"/>
      </c>
      <c r="M10" s="420">
        <f t="shared" si="9"/>
      </c>
      <c r="N10" s="420">
        <f t="shared" si="9"/>
      </c>
      <c r="O10" s="420">
        <f t="shared" si="9"/>
        <v>100</v>
      </c>
      <c r="P10" s="420">
        <f t="shared" si="9"/>
      </c>
      <c r="Q10" s="420">
        <f t="shared" si="9"/>
      </c>
      <c r="R10" s="420">
        <f t="shared" si="9"/>
      </c>
      <c r="S10" s="115">
        <f t="shared" si="2"/>
        <v>100</v>
      </c>
      <c r="T10" s="347">
        <f t="shared" si="3"/>
        <v>0</v>
      </c>
      <c r="U10" s="375">
        <f t="shared" si="4"/>
        <v>94.76</v>
      </c>
      <c r="V10" s="361">
        <f>(($E10*86400)-U10)</f>
        <v>-3.0080000000000098</v>
      </c>
      <c r="W10" s="362">
        <f>IF(V10&lt;=0,10,IF(V10&lt;1,5,IF(V10&lt;2,0,IF(V10&lt;3,-5,-10))))</f>
        <v>10</v>
      </c>
      <c r="X10" s="335">
        <f t="shared" si="5"/>
        <v>3</v>
      </c>
      <c r="Y10" s="335">
        <f t="shared" si="6"/>
        <v>6</v>
      </c>
      <c r="Z10" s="335">
        <f>IF($Y10="n/a","",_xlfn.IFERROR(COUNTIF($Y$2:$Y10,"="&amp;Y10),""))</f>
        <v>1</v>
      </c>
      <c r="AA10" s="335">
        <f>COUNTIF($X$2:X9,"&lt;"&amp;X10)</f>
        <v>0</v>
      </c>
      <c r="AB10" s="355">
        <f t="shared" si="7"/>
        <v>100</v>
      </c>
      <c r="AC10" s="69">
        <f t="shared" si="8"/>
        <v>110</v>
      </c>
      <c r="AE10" s="444" t="s">
        <v>16</v>
      </c>
      <c r="AF10" s="428" t="s">
        <v>256</v>
      </c>
      <c r="AG10" s="459">
        <v>0.001024664351851852</v>
      </c>
    </row>
    <row r="11" spans="1:33" ht="12.75">
      <c r="A11" s="268">
        <v>146</v>
      </c>
      <c r="B11" s="345" t="s">
        <v>216</v>
      </c>
      <c r="C11" s="345" t="str">
        <f t="shared" si="0"/>
        <v>daniel white</v>
      </c>
      <c r="D11" s="36" t="s">
        <v>56</v>
      </c>
      <c r="E11" s="53" t="s">
        <v>217</v>
      </c>
      <c r="F11" s="53"/>
      <c r="G11" s="36" t="s">
        <v>87</v>
      </c>
      <c r="H11" s="418">
        <f t="shared" si="9"/>
      </c>
      <c r="I11" s="418">
        <f t="shared" si="9"/>
      </c>
      <c r="J11" s="418">
        <f t="shared" si="9"/>
      </c>
      <c r="K11" s="418">
        <f t="shared" si="9"/>
      </c>
      <c r="L11" s="418">
        <f t="shared" si="9"/>
        <v>75</v>
      </c>
      <c r="M11" s="418">
        <f t="shared" si="9"/>
      </c>
      <c r="N11" s="418">
        <f t="shared" si="9"/>
      </c>
      <c r="O11" s="418">
        <f t="shared" si="9"/>
      </c>
      <c r="P11" s="418">
        <f t="shared" si="9"/>
      </c>
      <c r="Q11" s="418">
        <f t="shared" si="9"/>
      </c>
      <c r="R11" s="418">
        <f t="shared" si="9"/>
      </c>
      <c r="S11" s="115">
        <f t="shared" si="2"/>
        <v>75</v>
      </c>
      <c r="T11" s="268">
        <f t="shared" si="3"/>
        <v>-15</v>
      </c>
      <c r="U11" s="374">
        <f t="shared" si="4"/>
        <v>0</v>
      </c>
      <c r="V11" s="358"/>
      <c r="W11" s="237">
        <v>0</v>
      </c>
      <c r="X11" s="335">
        <f t="shared" si="5"/>
        <v>4</v>
      </c>
      <c r="Y11" s="335">
        <f t="shared" si="6"/>
        <v>7</v>
      </c>
      <c r="Z11" s="335">
        <f>IF($Y11="n/a","",_xlfn.IFERROR(COUNTIF($Y$2:$Y11,"="&amp;Y11),""))</f>
        <v>2</v>
      </c>
      <c r="AA11" s="335">
        <f>COUNTIF($X$2:X10,"&lt;"&amp;X11)</f>
        <v>1</v>
      </c>
      <c r="AB11" s="355">
        <f t="shared" si="7"/>
        <v>60</v>
      </c>
      <c r="AC11" s="69">
        <f t="shared" si="8"/>
        <v>60</v>
      </c>
      <c r="AE11" s="446" t="s">
        <v>13</v>
      </c>
      <c r="AF11" s="429" t="s">
        <v>189</v>
      </c>
      <c r="AG11" s="460">
        <v>0.0009836458333333333</v>
      </c>
    </row>
    <row r="12" spans="1:33" ht="13.5" thickBot="1">
      <c r="A12" s="118">
        <v>62</v>
      </c>
      <c r="B12" s="35" t="s">
        <v>159</v>
      </c>
      <c r="C12" s="35" t="str">
        <f t="shared" si="0"/>
        <v>noel heritage</v>
      </c>
      <c r="D12" s="38" t="s">
        <v>21</v>
      </c>
      <c r="E12" s="228" t="s">
        <v>198</v>
      </c>
      <c r="F12" s="228"/>
      <c r="G12" s="38" t="s">
        <v>70</v>
      </c>
      <c r="H12" s="423">
        <f t="shared" si="9"/>
      </c>
      <c r="I12" s="423">
        <f t="shared" si="9"/>
      </c>
      <c r="J12" s="423">
        <f t="shared" si="9"/>
      </c>
      <c r="K12" s="423">
        <f t="shared" si="9"/>
      </c>
      <c r="L12" s="423">
        <f t="shared" si="9"/>
      </c>
      <c r="M12" s="423">
        <f t="shared" si="9"/>
        <v>100</v>
      </c>
      <c r="N12" s="423">
        <f t="shared" si="9"/>
      </c>
      <c r="O12" s="423">
        <f t="shared" si="9"/>
      </c>
      <c r="P12" s="423">
        <f t="shared" si="9"/>
      </c>
      <c r="Q12" s="423">
        <f t="shared" si="9"/>
      </c>
      <c r="R12" s="423">
        <f t="shared" si="9"/>
      </c>
      <c r="S12" s="115">
        <f t="shared" si="2"/>
        <v>100</v>
      </c>
      <c r="T12" s="118">
        <f t="shared" si="3"/>
        <v>0</v>
      </c>
      <c r="U12" s="376">
        <f t="shared" si="4"/>
        <v>94.34800000000001</v>
      </c>
      <c r="V12" s="364">
        <f>(($E12*86400)-U12)</f>
        <v>1.9609999999999843</v>
      </c>
      <c r="W12" s="120">
        <f>IF(V12&lt;=0,10,IF(V12&lt;1,5,IF(V12&lt;2,0,IF(V12&lt;3,-5,-10))))</f>
        <v>0</v>
      </c>
      <c r="X12" s="335">
        <f t="shared" si="5"/>
        <v>2</v>
      </c>
      <c r="Y12" s="335">
        <f t="shared" si="6"/>
        <v>4</v>
      </c>
      <c r="Z12" s="335">
        <f>IF($Y12="n/a","",_xlfn.IFERROR(COUNTIF($Y$2:$Y12,"="&amp;Y12),""))</f>
        <v>1</v>
      </c>
      <c r="AA12" s="335">
        <f>COUNTIF($X$2:X11,"&lt;"&amp;X12)</f>
        <v>0</v>
      </c>
      <c r="AB12" s="355">
        <f t="shared" si="7"/>
        <v>100</v>
      </c>
      <c r="AC12" s="69">
        <f t="shared" si="8"/>
        <v>100</v>
      </c>
      <c r="AE12" s="448" t="s">
        <v>14</v>
      </c>
      <c r="AF12" s="449" t="s">
        <v>259</v>
      </c>
      <c r="AG12" s="461">
        <v>0.0009611921296296297</v>
      </c>
    </row>
    <row r="13" spans="1:29" ht="12.75">
      <c r="A13" s="121">
        <v>77</v>
      </c>
      <c r="B13" s="54" t="s">
        <v>169</v>
      </c>
      <c r="C13" s="54" t="str">
        <f t="shared" si="0"/>
        <v>simeon ouzas</v>
      </c>
      <c r="D13" s="55" t="s">
        <v>5</v>
      </c>
      <c r="E13" s="122" t="s">
        <v>199</v>
      </c>
      <c r="F13" s="122"/>
      <c r="G13" s="55" t="s">
        <v>163</v>
      </c>
      <c r="H13" s="424">
        <f t="shared" si="9"/>
      </c>
      <c r="I13" s="424">
        <f t="shared" si="9"/>
      </c>
      <c r="J13" s="424">
        <f t="shared" si="9"/>
      </c>
      <c r="K13" s="424">
        <f t="shared" si="9"/>
      </c>
      <c r="L13" s="424">
        <f t="shared" si="9"/>
      </c>
      <c r="M13" s="424">
        <f t="shared" si="9"/>
      </c>
      <c r="N13" s="424">
        <f t="shared" si="9"/>
      </c>
      <c r="O13" s="424">
        <f t="shared" si="9"/>
      </c>
      <c r="P13" s="424">
        <f t="shared" si="9"/>
      </c>
      <c r="Q13" s="424">
        <f t="shared" si="9"/>
        <v>100</v>
      </c>
      <c r="R13" s="424">
        <f t="shared" si="9"/>
      </c>
      <c r="S13" s="115">
        <f t="shared" si="2"/>
        <v>100</v>
      </c>
      <c r="T13" s="121">
        <f t="shared" si="3"/>
        <v>0</v>
      </c>
      <c r="U13" s="377">
        <f t="shared" si="4"/>
        <v>95.12</v>
      </c>
      <c r="V13" s="369">
        <f>(($E13*86400)-U13)</f>
        <v>1.2519999999999953</v>
      </c>
      <c r="W13" s="123">
        <f>IF(V13&lt;=0,10,IF(V13&lt;1,5,IF(V13&lt;2,0,IF(V13&lt;3,-5,-10))))</f>
        <v>0</v>
      </c>
      <c r="X13" s="335">
        <f t="shared" si="5"/>
        <v>1</v>
      </c>
      <c r="Y13" s="335">
        <f t="shared" si="6"/>
        <v>2</v>
      </c>
      <c r="Z13" s="335">
        <f>IF($Y13="n/a","",_xlfn.IFERROR(COUNTIF($Y$2:$Y13,"="&amp;Y13),""))</f>
        <v>1</v>
      </c>
      <c r="AA13" s="335">
        <f>COUNTIF($X$2:X12,"&lt;"&amp;X13)</f>
        <v>0</v>
      </c>
      <c r="AB13" s="355">
        <f t="shared" si="7"/>
        <v>100</v>
      </c>
      <c r="AC13" s="69">
        <f t="shared" si="8"/>
        <v>100</v>
      </c>
    </row>
    <row r="14" spans="1:29" ht="12.75">
      <c r="A14" s="333">
        <v>54</v>
      </c>
      <c r="B14" s="5" t="s">
        <v>200</v>
      </c>
      <c r="C14" s="5" t="str">
        <f t="shared" si="0"/>
        <v>sean kent</v>
      </c>
      <c r="D14" s="12" t="s">
        <v>26</v>
      </c>
      <c r="E14" s="7" t="s">
        <v>201</v>
      </c>
      <c r="F14" s="7"/>
      <c r="G14" s="12" t="s">
        <v>128</v>
      </c>
      <c r="H14" s="417">
        <f t="shared" si="9"/>
      </c>
      <c r="I14" s="417">
        <f t="shared" si="9"/>
      </c>
      <c r="J14" s="417">
        <f t="shared" si="9"/>
      </c>
      <c r="K14" s="417">
        <f t="shared" si="9"/>
      </c>
      <c r="L14" s="417">
        <f t="shared" si="9"/>
      </c>
      <c r="M14" s="417">
        <f t="shared" si="9"/>
      </c>
      <c r="N14" s="417">
        <f t="shared" si="9"/>
      </c>
      <c r="O14" s="417">
        <f t="shared" si="9"/>
      </c>
      <c r="P14" s="417">
        <f t="shared" si="9"/>
      </c>
      <c r="Q14" s="417">
        <f t="shared" si="9"/>
      </c>
      <c r="R14" s="417">
        <f t="shared" si="9"/>
      </c>
      <c r="S14" s="115">
        <f t="shared" si="2"/>
        <v>0</v>
      </c>
      <c r="T14" s="333">
        <f t="shared" si="3"/>
        <v>0</v>
      </c>
      <c r="U14" s="186">
        <f t="shared" si="4"/>
      </c>
      <c r="V14" s="352"/>
      <c r="W14" s="117"/>
      <c r="X14" s="335" t="str">
        <f t="shared" si="5"/>
        <v>n/a</v>
      </c>
      <c r="Y14" s="335" t="str">
        <f t="shared" si="6"/>
        <v>n/a</v>
      </c>
      <c r="Z14" s="335">
        <f>IF($Y14="n/a","",_xlfn.IFERROR(COUNTIF($Y$2:$Y14,"="&amp;Y14),""))</f>
      </c>
      <c r="AA14" s="335">
        <f>COUNTIF($X$2:X13,"&lt;"&amp;X14)</f>
        <v>0</v>
      </c>
      <c r="AB14" s="355">
        <f t="shared" si="7"/>
        <v>0</v>
      </c>
      <c r="AC14" s="69">
        <f t="shared" si="8"/>
        <v>0</v>
      </c>
    </row>
    <row r="15" spans="1:29" ht="12.75">
      <c r="A15" s="118">
        <v>6</v>
      </c>
      <c r="B15" s="35" t="s">
        <v>218</v>
      </c>
      <c r="C15" s="35" t="str">
        <f t="shared" si="0"/>
        <v>peter dannock</v>
      </c>
      <c r="D15" s="38" t="s">
        <v>21</v>
      </c>
      <c r="E15" s="228" t="s">
        <v>219</v>
      </c>
      <c r="F15" s="228"/>
      <c r="G15" s="38" t="s">
        <v>220</v>
      </c>
      <c r="H15" s="423">
        <f t="shared" si="9"/>
      </c>
      <c r="I15" s="423">
        <f t="shared" si="9"/>
      </c>
      <c r="J15" s="423">
        <f t="shared" si="9"/>
      </c>
      <c r="K15" s="423">
        <f t="shared" si="9"/>
      </c>
      <c r="L15" s="423">
        <f t="shared" si="9"/>
      </c>
      <c r="M15" s="423">
        <f t="shared" si="9"/>
        <v>75</v>
      </c>
      <c r="N15" s="423">
        <f t="shared" si="9"/>
      </c>
      <c r="O15" s="423">
        <f t="shared" si="9"/>
      </c>
      <c r="P15" s="423">
        <f t="shared" si="9"/>
      </c>
      <c r="Q15" s="423">
        <f t="shared" si="9"/>
      </c>
      <c r="R15" s="423">
        <f t="shared" si="9"/>
      </c>
      <c r="S15" s="115">
        <f t="shared" si="2"/>
        <v>75</v>
      </c>
      <c r="T15" s="118">
        <f t="shared" si="3"/>
        <v>-15</v>
      </c>
      <c r="U15" s="376">
        <f t="shared" si="4"/>
        <v>94.34800000000001</v>
      </c>
      <c r="V15" s="364">
        <f aca="true" t="shared" si="10" ref="V15:V20">(($E15*86400)-U15)</f>
        <v>2.3619999999999948</v>
      </c>
      <c r="W15" s="120">
        <f aca="true" t="shared" si="11" ref="W15:W20">IF(V15&lt;=0,10,IF(V15&lt;1,5,IF(V15&lt;2,0,IF(V15&lt;3,-5,-10))))</f>
        <v>-5</v>
      </c>
      <c r="X15" s="335">
        <f t="shared" si="5"/>
        <v>2</v>
      </c>
      <c r="Y15" s="335">
        <f t="shared" si="6"/>
        <v>4</v>
      </c>
      <c r="Z15" s="335">
        <f>IF($Y15="n/a","",_xlfn.IFERROR(COUNTIF($Y$2:$Y15,"="&amp;Y15),""))</f>
        <v>2</v>
      </c>
      <c r="AA15" s="335">
        <f>COUNTIF($X$2:X14,"&lt;"&amp;X15)</f>
        <v>1</v>
      </c>
      <c r="AB15" s="355">
        <f t="shared" si="7"/>
        <v>60</v>
      </c>
      <c r="AC15" s="69">
        <f t="shared" si="8"/>
        <v>55</v>
      </c>
    </row>
    <row r="16" spans="1:29" ht="12.75">
      <c r="A16" s="121">
        <v>612</v>
      </c>
      <c r="B16" s="54" t="s">
        <v>166</v>
      </c>
      <c r="C16" s="54" t="str">
        <f t="shared" si="0"/>
        <v>gareth pedley</v>
      </c>
      <c r="D16" s="55" t="s">
        <v>5</v>
      </c>
      <c r="E16" s="122" t="s">
        <v>221</v>
      </c>
      <c r="F16" s="122"/>
      <c r="G16" s="55" t="s">
        <v>222</v>
      </c>
      <c r="H16" s="424">
        <f t="shared" si="9"/>
      </c>
      <c r="I16" s="424">
        <f t="shared" si="9"/>
      </c>
      <c r="J16" s="424">
        <f t="shared" si="9"/>
      </c>
      <c r="K16" s="424">
        <f t="shared" si="9"/>
      </c>
      <c r="L16" s="424">
        <f t="shared" si="9"/>
      </c>
      <c r="M16" s="424">
        <f t="shared" si="9"/>
      </c>
      <c r="N16" s="424">
        <f t="shared" si="9"/>
      </c>
      <c r="O16" s="424">
        <f t="shared" si="9"/>
      </c>
      <c r="P16" s="424">
        <f t="shared" si="9"/>
      </c>
      <c r="Q16" s="424">
        <f t="shared" si="9"/>
        <v>75</v>
      </c>
      <c r="R16" s="424">
        <f t="shared" si="9"/>
      </c>
      <c r="S16" s="115">
        <f t="shared" si="2"/>
        <v>75</v>
      </c>
      <c r="T16" s="121">
        <f t="shared" si="3"/>
        <v>0</v>
      </c>
      <c r="U16" s="377">
        <f t="shared" si="4"/>
        <v>95.12</v>
      </c>
      <c r="V16" s="369">
        <f t="shared" si="10"/>
        <v>2.134999999999991</v>
      </c>
      <c r="W16" s="123">
        <f t="shared" si="11"/>
        <v>-5</v>
      </c>
      <c r="X16" s="335">
        <f t="shared" si="5"/>
        <v>1</v>
      </c>
      <c r="Y16" s="335">
        <f t="shared" si="6"/>
        <v>2</v>
      </c>
      <c r="Z16" s="335">
        <f>IF($Y16="n/a","",_xlfn.IFERROR(COUNTIF($Y$2:$Y16,"="&amp;Y16),""))</f>
        <v>2</v>
      </c>
      <c r="AA16" s="335">
        <f>COUNTIF($X$2:X15,"&lt;"&amp;X16)</f>
        <v>0</v>
      </c>
      <c r="AB16" s="355">
        <f t="shared" si="7"/>
        <v>75</v>
      </c>
      <c r="AC16" s="69">
        <f t="shared" si="8"/>
        <v>70</v>
      </c>
    </row>
    <row r="17" spans="1:29" ht="12.75">
      <c r="A17" s="121">
        <v>47</v>
      </c>
      <c r="B17" s="54" t="s">
        <v>182</v>
      </c>
      <c r="C17" s="54" t="str">
        <f t="shared" si="0"/>
        <v>steve williamsz</v>
      </c>
      <c r="D17" s="55" t="s">
        <v>5</v>
      </c>
      <c r="E17" s="122" t="s">
        <v>223</v>
      </c>
      <c r="F17" s="122"/>
      <c r="G17" s="55" t="s">
        <v>224</v>
      </c>
      <c r="H17" s="424">
        <f t="shared" si="9"/>
      </c>
      <c r="I17" s="424">
        <f t="shared" si="9"/>
      </c>
      <c r="J17" s="424">
        <f t="shared" si="9"/>
      </c>
      <c r="K17" s="424">
        <f t="shared" si="9"/>
      </c>
      <c r="L17" s="424">
        <f t="shared" si="9"/>
      </c>
      <c r="M17" s="424">
        <f t="shared" si="9"/>
      </c>
      <c r="N17" s="424">
        <f t="shared" si="9"/>
      </c>
      <c r="O17" s="424">
        <f t="shared" si="9"/>
      </c>
      <c r="P17" s="424">
        <f t="shared" si="9"/>
      </c>
      <c r="Q17" s="424">
        <f t="shared" si="9"/>
        <v>60</v>
      </c>
      <c r="R17" s="424">
        <f t="shared" si="9"/>
      </c>
      <c r="S17" s="115">
        <f t="shared" si="2"/>
        <v>60</v>
      </c>
      <c r="T17" s="121">
        <f t="shared" si="3"/>
        <v>0</v>
      </c>
      <c r="U17" s="377">
        <f t="shared" si="4"/>
        <v>95.12</v>
      </c>
      <c r="V17" s="369">
        <f t="shared" si="10"/>
        <v>2.853999999999985</v>
      </c>
      <c r="W17" s="123">
        <f t="shared" si="11"/>
        <v>-5</v>
      </c>
      <c r="X17" s="335">
        <f t="shared" si="5"/>
        <v>1</v>
      </c>
      <c r="Y17" s="335">
        <f t="shared" si="6"/>
        <v>2</v>
      </c>
      <c r="Z17" s="335">
        <f>IF($Y17="n/a","",_xlfn.IFERROR(COUNTIF($Y$2:$Y17,"="&amp;Y17),""))</f>
        <v>3</v>
      </c>
      <c r="AA17" s="335">
        <f>COUNTIF($X$2:X16,"&lt;"&amp;X17)</f>
        <v>0</v>
      </c>
      <c r="AB17" s="355">
        <f t="shared" si="7"/>
        <v>60</v>
      </c>
      <c r="AC17" s="69">
        <f t="shared" si="8"/>
        <v>55</v>
      </c>
    </row>
    <row r="18" spans="1:29" ht="12.75">
      <c r="A18" s="118">
        <v>81</v>
      </c>
      <c r="B18" s="35" t="s">
        <v>173</v>
      </c>
      <c r="C18" s="35" t="str">
        <f t="shared" si="0"/>
        <v>murray seymour</v>
      </c>
      <c r="D18" s="38" t="s">
        <v>21</v>
      </c>
      <c r="E18" s="228" t="s">
        <v>202</v>
      </c>
      <c r="F18" s="228"/>
      <c r="G18" s="38" t="s">
        <v>203</v>
      </c>
      <c r="H18" s="423">
        <f t="shared" si="9"/>
      </c>
      <c r="I18" s="423">
        <f t="shared" si="9"/>
      </c>
      <c r="J18" s="423">
        <f t="shared" si="9"/>
      </c>
      <c r="K18" s="423">
        <f t="shared" si="9"/>
      </c>
      <c r="L18" s="423">
        <f t="shared" si="9"/>
      </c>
      <c r="M18" s="423">
        <f t="shared" si="9"/>
        <v>60</v>
      </c>
      <c r="N18" s="423">
        <f t="shared" si="9"/>
      </c>
      <c r="O18" s="423">
        <f t="shared" si="9"/>
      </c>
      <c r="P18" s="423">
        <f t="shared" si="9"/>
      </c>
      <c r="Q18" s="423">
        <f t="shared" si="9"/>
      </c>
      <c r="R18" s="423">
        <f t="shared" si="9"/>
      </c>
      <c r="S18" s="115">
        <f t="shared" si="2"/>
        <v>60</v>
      </c>
      <c r="T18" s="118">
        <f t="shared" si="3"/>
        <v>-45</v>
      </c>
      <c r="U18" s="376">
        <f t="shared" si="4"/>
        <v>94.34800000000001</v>
      </c>
      <c r="V18" s="364">
        <f t="shared" si="10"/>
        <v>3.6779999999999973</v>
      </c>
      <c r="W18" s="120">
        <f t="shared" si="11"/>
        <v>-10</v>
      </c>
      <c r="X18" s="335">
        <f t="shared" si="5"/>
        <v>2</v>
      </c>
      <c r="Y18" s="335">
        <f t="shared" si="6"/>
        <v>4</v>
      </c>
      <c r="Z18" s="335">
        <f>IF($Y18="n/a","",_xlfn.IFERROR(COUNTIF($Y$2:$Y18,"="&amp;Y18),""))</f>
        <v>3</v>
      </c>
      <c r="AA18" s="335">
        <f>COUNTIF($X$2:X17,"&lt;"&amp;X18)</f>
        <v>3</v>
      </c>
      <c r="AB18" s="355">
        <f t="shared" si="7"/>
        <v>15</v>
      </c>
      <c r="AC18" s="69">
        <f t="shared" si="8"/>
        <v>5</v>
      </c>
    </row>
    <row r="19" spans="1:29" ht="12.75">
      <c r="A19" s="287">
        <v>26</v>
      </c>
      <c r="B19" s="288" t="s">
        <v>161</v>
      </c>
      <c r="C19" s="288" t="str">
        <f t="shared" si="0"/>
        <v>robert downes</v>
      </c>
      <c r="D19" s="235" t="s">
        <v>22</v>
      </c>
      <c r="E19" s="289" t="s">
        <v>204</v>
      </c>
      <c r="F19" s="289"/>
      <c r="G19" s="235" t="s">
        <v>163</v>
      </c>
      <c r="H19" s="422">
        <f t="shared" si="9"/>
      </c>
      <c r="I19" s="422">
        <f t="shared" si="9"/>
      </c>
      <c r="J19" s="422">
        <f t="shared" si="9"/>
      </c>
      <c r="K19" s="422">
        <f t="shared" si="9"/>
      </c>
      <c r="L19" s="422">
        <f t="shared" si="9"/>
      </c>
      <c r="M19" s="422">
        <f t="shared" si="9"/>
      </c>
      <c r="N19" s="422">
        <f t="shared" si="9"/>
        <v>100</v>
      </c>
      <c r="O19" s="422">
        <f t="shared" si="9"/>
      </c>
      <c r="P19" s="422">
        <f t="shared" si="9"/>
      </c>
      <c r="Q19" s="422">
        <f t="shared" si="9"/>
      </c>
      <c r="R19" s="422">
        <f t="shared" si="9"/>
      </c>
      <c r="S19" s="115">
        <f t="shared" si="2"/>
        <v>100</v>
      </c>
      <c r="T19" s="287">
        <f t="shared" si="3"/>
        <v>-55</v>
      </c>
      <c r="U19" s="378">
        <f t="shared" si="4"/>
        <v>96.88499999999999</v>
      </c>
      <c r="V19" s="366">
        <f t="shared" si="10"/>
        <v>1.6290000000000333</v>
      </c>
      <c r="W19" s="236">
        <f t="shared" si="11"/>
        <v>0</v>
      </c>
      <c r="X19" s="335">
        <f t="shared" si="5"/>
        <v>2</v>
      </c>
      <c r="Y19" s="335">
        <f t="shared" si="6"/>
        <v>3</v>
      </c>
      <c r="Z19" s="335">
        <f>IF($Y19="n/a","",_xlfn.IFERROR(COUNTIF($Y$2:$Y19,"="&amp;Y19),""))</f>
        <v>1</v>
      </c>
      <c r="AA19" s="335">
        <f>COUNTIF($X$2:X18,"&lt;"&amp;X19)</f>
        <v>3</v>
      </c>
      <c r="AB19" s="355">
        <f t="shared" si="7"/>
        <v>45</v>
      </c>
      <c r="AC19" s="69">
        <f t="shared" si="8"/>
        <v>45</v>
      </c>
    </row>
    <row r="20" spans="1:29" ht="12.75">
      <c r="A20" s="121">
        <v>128</v>
      </c>
      <c r="B20" s="54" t="s">
        <v>205</v>
      </c>
      <c r="C20" s="54" t="str">
        <f t="shared" si="0"/>
        <v>ibrahim rafei</v>
      </c>
      <c r="D20" s="55" t="s">
        <v>5</v>
      </c>
      <c r="E20" s="122" t="s">
        <v>206</v>
      </c>
      <c r="F20" s="122"/>
      <c r="G20" s="55" t="s">
        <v>70</v>
      </c>
      <c r="H20" s="424">
        <f t="shared" si="9"/>
      </c>
      <c r="I20" s="424">
        <f t="shared" si="9"/>
      </c>
      <c r="J20" s="424">
        <f t="shared" si="9"/>
      </c>
      <c r="K20" s="424">
        <f t="shared" si="9"/>
      </c>
      <c r="L20" s="424">
        <f t="shared" si="9"/>
      </c>
      <c r="M20" s="424">
        <f t="shared" si="9"/>
      </c>
      <c r="N20" s="424">
        <f t="shared" si="9"/>
      </c>
      <c r="O20" s="424">
        <f t="shared" si="9"/>
      </c>
      <c r="P20" s="424">
        <f t="shared" si="9"/>
      </c>
      <c r="Q20" s="424">
        <f t="shared" si="9"/>
        <v>45</v>
      </c>
      <c r="R20" s="424">
        <f t="shared" si="9"/>
      </c>
      <c r="S20" s="115">
        <f t="shared" si="2"/>
        <v>45</v>
      </c>
      <c r="T20" s="121">
        <f t="shared" si="3"/>
        <v>0</v>
      </c>
      <c r="U20" s="377">
        <f t="shared" si="4"/>
        <v>95.12</v>
      </c>
      <c r="V20" s="369">
        <f t="shared" si="10"/>
        <v>3.565000000000012</v>
      </c>
      <c r="W20" s="123">
        <f t="shared" si="11"/>
        <v>-10</v>
      </c>
      <c r="X20" s="335">
        <f t="shared" si="5"/>
        <v>1</v>
      </c>
      <c r="Y20" s="335">
        <f t="shared" si="6"/>
        <v>2</v>
      </c>
      <c r="Z20" s="335">
        <f>IF($Y20="n/a","",_xlfn.IFERROR(COUNTIF($Y$2:$Y20,"="&amp;Y20),""))</f>
        <v>4</v>
      </c>
      <c r="AA20" s="335">
        <f>COUNTIF($X$2:X19,"&lt;"&amp;X20)</f>
        <v>0</v>
      </c>
      <c r="AB20" s="355">
        <f t="shared" si="7"/>
        <v>45</v>
      </c>
      <c r="AC20" s="69">
        <f t="shared" si="8"/>
        <v>35</v>
      </c>
    </row>
    <row r="21" spans="1:29" ht="12.75">
      <c r="A21" s="333">
        <v>205</v>
      </c>
      <c r="B21" s="5" t="s">
        <v>227</v>
      </c>
      <c r="C21" s="5" t="str">
        <f t="shared" si="0"/>
        <v>john reid</v>
      </c>
      <c r="D21" s="12" t="s">
        <v>26</v>
      </c>
      <c r="E21" s="7" t="s">
        <v>228</v>
      </c>
      <c r="F21" s="7"/>
      <c r="G21" s="12" t="s">
        <v>126</v>
      </c>
      <c r="H21" s="417">
        <f t="shared" si="9"/>
      </c>
      <c r="I21" s="417">
        <f t="shared" si="9"/>
      </c>
      <c r="J21" s="417">
        <f t="shared" si="9"/>
      </c>
      <c r="K21" s="417">
        <f t="shared" si="9"/>
      </c>
      <c r="L21" s="417">
        <f t="shared" si="9"/>
      </c>
      <c r="M21" s="417">
        <f t="shared" si="9"/>
      </c>
      <c r="N21" s="417">
        <f t="shared" si="9"/>
      </c>
      <c r="O21" s="417">
        <f t="shared" si="9"/>
      </c>
      <c r="P21" s="417">
        <f t="shared" si="9"/>
      </c>
      <c r="Q21" s="417">
        <f t="shared" si="9"/>
      </c>
      <c r="R21" s="417">
        <f t="shared" si="9"/>
      </c>
      <c r="S21" s="115">
        <f t="shared" si="2"/>
        <v>0</v>
      </c>
      <c r="T21" s="333">
        <f t="shared" si="3"/>
        <v>0</v>
      </c>
      <c r="U21" s="186">
        <f t="shared" si="4"/>
      </c>
      <c r="V21" s="352"/>
      <c r="W21" s="117"/>
      <c r="X21" s="335" t="str">
        <f t="shared" si="5"/>
        <v>n/a</v>
      </c>
      <c r="Y21" s="335" t="str">
        <f t="shared" si="6"/>
        <v>n/a</v>
      </c>
      <c r="Z21" s="335">
        <f>IF($Y21="n/a","",_xlfn.IFERROR(COUNTIF($Y$2:$Y21,"="&amp;Y21),""))</f>
      </c>
      <c r="AA21" s="335">
        <f>COUNTIF($X$2:X20,"&lt;"&amp;X21)</f>
        <v>0</v>
      </c>
      <c r="AB21" s="355">
        <f t="shared" si="7"/>
        <v>0</v>
      </c>
      <c r="AC21" s="69">
        <f t="shared" si="8"/>
        <v>0</v>
      </c>
    </row>
    <row r="22" spans="1:29" ht="12.75">
      <c r="A22" s="121">
        <v>42</v>
      </c>
      <c r="B22" s="54" t="s">
        <v>176</v>
      </c>
      <c r="C22" s="54" t="str">
        <f t="shared" si="0"/>
        <v>john downes</v>
      </c>
      <c r="D22" s="55" t="s">
        <v>5</v>
      </c>
      <c r="E22" s="122" t="s">
        <v>229</v>
      </c>
      <c r="F22" s="122"/>
      <c r="G22" s="55" t="s">
        <v>209</v>
      </c>
      <c r="H22" s="424">
        <f t="shared" si="9"/>
      </c>
      <c r="I22" s="424">
        <f t="shared" si="9"/>
      </c>
      <c r="J22" s="424">
        <f t="shared" si="9"/>
      </c>
      <c r="K22" s="424">
        <f t="shared" si="9"/>
      </c>
      <c r="L22" s="424">
        <f t="shared" si="9"/>
      </c>
      <c r="M22" s="424">
        <f t="shared" si="9"/>
      </c>
      <c r="N22" s="424">
        <f t="shared" si="9"/>
      </c>
      <c r="O22" s="424">
        <f t="shared" si="9"/>
      </c>
      <c r="P22" s="424">
        <f t="shared" si="9"/>
      </c>
      <c r="Q22" s="424">
        <f t="shared" si="9"/>
        <v>30</v>
      </c>
      <c r="R22" s="424">
        <f t="shared" si="9"/>
      </c>
      <c r="S22" s="115">
        <f t="shared" si="2"/>
        <v>30</v>
      </c>
      <c r="T22" s="121">
        <f t="shared" si="3"/>
        <v>0</v>
      </c>
      <c r="U22" s="377">
        <f t="shared" si="4"/>
        <v>95.12</v>
      </c>
      <c r="V22" s="369">
        <f>(($E22*86400)-U22)</f>
        <v>5.109999999999999</v>
      </c>
      <c r="W22" s="123">
        <f>IF(V22&lt;=0,10,IF(V22&lt;1,5,IF(V22&lt;2,0,IF(V22&lt;3,-5,-10))))</f>
        <v>-10</v>
      </c>
      <c r="X22" s="335">
        <f t="shared" si="5"/>
        <v>1</v>
      </c>
      <c r="Y22" s="335">
        <f t="shared" si="6"/>
        <v>2</v>
      </c>
      <c r="Z22" s="335">
        <f>IF($Y22="n/a","",_xlfn.IFERROR(COUNTIF($Y$2:$Y22,"="&amp;Y22),""))</f>
        <v>5</v>
      </c>
      <c r="AA22" s="335">
        <f>COUNTIF($X$2:X21,"&lt;"&amp;X22)</f>
        <v>0</v>
      </c>
      <c r="AB22" s="355">
        <f t="shared" si="7"/>
        <v>30</v>
      </c>
      <c r="AC22" s="69">
        <f t="shared" si="8"/>
        <v>20</v>
      </c>
    </row>
    <row r="23" spans="1:29" ht="12.75">
      <c r="A23" s="121">
        <v>28</v>
      </c>
      <c r="B23" s="54" t="s">
        <v>207</v>
      </c>
      <c r="C23" s="54" t="str">
        <f t="shared" si="0"/>
        <v>allison rafei</v>
      </c>
      <c r="D23" s="55" t="s">
        <v>5</v>
      </c>
      <c r="E23" s="122" t="s">
        <v>208</v>
      </c>
      <c r="F23" s="122"/>
      <c r="G23" s="55" t="s">
        <v>209</v>
      </c>
      <c r="H23" s="424">
        <f t="shared" si="9"/>
      </c>
      <c r="I23" s="424">
        <f t="shared" si="9"/>
      </c>
      <c r="J23" s="424">
        <f t="shared" si="9"/>
      </c>
      <c r="K23" s="424">
        <f t="shared" si="9"/>
      </c>
      <c r="L23" s="424">
        <f t="shared" si="9"/>
      </c>
      <c r="M23" s="424">
        <f t="shared" si="9"/>
      </c>
      <c r="N23" s="424">
        <f t="shared" si="9"/>
      </c>
      <c r="O23" s="424">
        <f t="shared" si="9"/>
      </c>
      <c r="P23" s="424">
        <f t="shared" si="9"/>
      </c>
      <c r="Q23" s="424">
        <f t="shared" si="9"/>
        <v>15</v>
      </c>
      <c r="R23" s="424">
        <f t="shared" si="9"/>
      </c>
      <c r="S23" s="115">
        <f t="shared" si="2"/>
        <v>15</v>
      </c>
      <c r="T23" s="121">
        <f t="shared" si="3"/>
        <v>0</v>
      </c>
      <c r="U23" s="377">
        <f t="shared" si="4"/>
        <v>95.12</v>
      </c>
      <c r="V23" s="369">
        <f>(($E23*86400)-U23)</f>
        <v>7.673999999999992</v>
      </c>
      <c r="W23" s="123">
        <f>IF(V23&lt;=0,10,IF(V23&lt;1,5,IF(V23&lt;2,0,IF(V23&lt;3,-5,-10))))</f>
        <v>-10</v>
      </c>
      <c r="X23" s="335">
        <f t="shared" si="5"/>
        <v>1</v>
      </c>
      <c r="Y23" s="335">
        <f t="shared" si="6"/>
        <v>2</v>
      </c>
      <c r="Z23" s="335">
        <f>IF($Y23="n/a","",_xlfn.IFERROR(COUNTIF($Y$2:$Y23,"="&amp;Y23),""))</f>
        <v>6</v>
      </c>
      <c r="AA23" s="335">
        <f>COUNTIF($X$2:X22,"&lt;"&amp;X23)</f>
        <v>0</v>
      </c>
      <c r="AB23" s="355">
        <f t="shared" si="7"/>
        <v>15</v>
      </c>
      <c r="AC23" s="69">
        <f t="shared" si="8"/>
        <v>5</v>
      </c>
    </row>
    <row r="24" spans="1:29" ht="13.5" thickBot="1">
      <c r="A24" s="340">
        <v>69</v>
      </c>
      <c r="B24" s="341" t="s">
        <v>210</v>
      </c>
      <c r="C24" s="341" t="str">
        <f t="shared" si="0"/>
        <v>deaglan gahan</v>
      </c>
      <c r="D24" s="301" t="s">
        <v>26</v>
      </c>
      <c r="E24" s="342" t="s">
        <v>211</v>
      </c>
      <c r="F24" s="342"/>
      <c r="G24" s="12" t="s">
        <v>212</v>
      </c>
      <c r="H24" s="417">
        <f t="shared" si="9"/>
      </c>
      <c r="I24" s="417">
        <f t="shared" si="9"/>
      </c>
      <c r="J24" s="417">
        <f t="shared" si="9"/>
      </c>
      <c r="K24" s="417">
        <f t="shared" si="9"/>
      </c>
      <c r="L24" s="417">
        <f t="shared" si="9"/>
      </c>
      <c r="M24" s="417">
        <f t="shared" si="9"/>
      </c>
      <c r="N24" s="417">
        <f t="shared" si="9"/>
      </c>
      <c r="O24" s="417">
        <f t="shared" si="9"/>
      </c>
      <c r="P24" s="417">
        <f t="shared" si="9"/>
      </c>
      <c r="Q24" s="417">
        <f t="shared" si="9"/>
      </c>
      <c r="R24" s="417">
        <f t="shared" si="9"/>
      </c>
      <c r="S24" s="115">
        <f t="shared" si="2"/>
        <v>0</v>
      </c>
      <c r="T24" s="340">
        <f t="shared" si="3"/>
        <v>0</v>
      </c>
      <c r="U24" s="240">
        <f t="shared" si="4"/>
      </c>
      <c r="V24" s="351"/>
      <c r="W24" s="302"/>
      <c r="X24" s="383" t="str">
        <f t="shared" si="5"/>
        <v>n/a</v>
      </c>
      <c r="Y24" s="383" t="str">
        <f t="shared" si="6"/>
        <v>n/a</v>
      </c>
      <c r="Z24" s="383">
        <f>IF($Y24="n/a","",_xlfn.IFERROR(COUNTIF($Y$2:$Y24,"="&amp;Y24),""))</f>
      </c>
      <c r="AA24" s="383"/>
      <c r="AB24" s="415">
        <f t="shared" si="7"/>
        <v>0</v>
      </c>
      <c r="AC24" s="384">
        <f t="shared" si="8"/>
        <v>0</v>
      </c>
    </row>
    <row r="25" spans="6:29" ht="13.5" thickBot="1">
      <c r="F25" s="298"/>
      <c r="G25" s="205" t="s">
        <v>29</v>
      </c>
      <c r="H25" s="206">
        <f>COUNT(H2:H24)</f>
        <v>1</v>
      </c>
      <c r="I25" s="206">
        <f aca="true" t="shared" si="12" ref="I25:S25">COUNT(I2:I24)</f>
        <v>1</v>
      </c>
      <c r="J25" s="206">
        <f t="shared" si="12"/>
        <v>0</v>
      </c>
      <c r="K25" s="206">
        <f t="shared" si="12"/>
        <v>1</v>
      </c>
      <c r="L25" s="206">
        <f t="shared" si="12"/>
        <v>2</v>
      </c>
      <c r="M25" s="206">
        <f t="shared" si="12"/>
        <v>3</v>
      </c>
      <c r="N25" s="206">
        <f t="shared" si="12"/>
        <v>1</v>
      </c>
      <c r="O25" s="206">
        <f t="shared" si="12"/>
        <v>1</v>
      </c>
      <c r="P25" s="206">
        <f t="shared" si="12"/>
        <v>0</v>
      </c>
      <c r="Q25" s="206">
        <f t="shared" si="12"/>
        <v>6</v>
      </c>
      <c r="R25" s="206">
        <f t="shared" si="12"/>
        <v>0</v>
      </c>
      <c r="S25" s="207">
        <f t="shared" si="12"/>
        <v>23</v>
      </c>
      <c r="T25" s="379"/>
      <c r="U25" s="379"/>
      <c r="V25" s="352"/>
      <c r="W25" s="379"/>
      <c r="X25" s="379"/>
      <c r="Y25" s="379"/>
      <c r="Z25" s="379"/>
      <c r="AA25" s="379"/>
      <c r="AB25" s="379"/>
      <c r="AC25" s="379"/>
    </row>
    <row r="26" spans="20:29" ht="12.75">
      <c r="T26" s="8"/>
      <c r="U26" s="1"/>
      <c r="V26" s="352"/>
      <c r="W26" s="1"/>
      <c r="X26" s="8"/>
      <c r="Y26" s="8"/>
      <c r="Z26" s="8"/>
      <c r="AA26" s="8"/>
      <c r="AB26" s="8"/>
      <c r="AC26" s="1"/>
    </row>
    <row r="27" spans="2:28" ht="12.75">
      <c r="B27" s="2"/>
      <c r="C27" s="2"/>
      <c r="D27" s="126"/>
      <c r="T27" s="126"/>
      <c r="X27" s="126"/>
      <c r="Y27" s="126"/>
      <c r="Z27" s="126"/>
      <c r="AA27" s="126"/>
      <c r="AB27" s="126"/>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G23"/>
  <sheetViews>
    <sheetView zoomScale="90" zoomScaleNormal="90" zoomScalePageLayoutView="0" workbookViewId="0" topLeftCell="A1">
      <selection activeCell="A1" sqref="A1"/>
    </sheetView>
  </sheetViews>
  <sheetFormatPr defaultColWidth="9.140625" defaultRowHeight="12.75"/>
  <cols>
    <col min="1" max="1" width="8.140625" style="124" customWidth="1"/>
    <col min="2" max="2" width="18.8515625" style="125" customWidth="1"/>
    <col min="3" max="3" width="20.8515625" style="125" hidden="1" customWidth="1"/>
    <col min="4" max="4" width="7.7109375" style="125" bestFit="1" customWidth="1"/>
    <col min="5" max="5" width="9.7109375" style="125" customWidth="1"/>
    <col min="6" max="6" width="14.28125" style="125" bestFit="1" customWidth="1"/>
    <col min="7" max="7" width="9.28125" style="125" bestFit="1" customWidth="1"/>
    <col min="8" max="18" width="7.7109375" style="125" customWidth="1"/>
    <col min="19" max="20" width="6.7109375" style="125" customWidth="1"/>
    <col min="21" max="21" width="8.28125" style="125" customWidth="1"/>
    <col min="22" max="22" width="8.8515625" style="185" customWidth="1"/>
    <col min="23" max="23" width="8.8515625" style="125" customWidth="1"/>
    <col min="24" max="24" width="14.28125" style="125" hidden="1" customWidth="1"/>
    <col min="25" max="27" width="8.8515625" style="125" hidden="1" customWidth="1"/>
    <col min="28" max="28" width="10.8515625" style="125" hidden="1" customWidth="1"/>
    <col min="29" max="31" width="8.8515625" style="125" customWidth="1"/>
    <col min="32" max="32" width="16.7109375" style="125" bestFit="1" customWidth="1"/>
    <col min="33" max="33" width="9.28125" style="125" bestFit="1" customWidth="1"/>
    <col min="34" max="16384" width="8.8515625" style="125" customWidth="1"/>
  </cols>
  <sheetData>
    <row r="1" spans="1:33" s="124" customFormat="1" ht="42.75" customHeight="1" thickBot="1">
      <c r="A1" s="208" t="s">
        <v>23</v>
      </c>
      <c r="B1" s="280" t="s">
        <v>1</v>
      </c>
      <c r="C1" s="202" t="s">
        <v>1</v>
      </c>
      <c r="D1" s="202" t="s">
        <v>2</v>
      </c>
      <c r="E1" s="209" t="s">
        <v>24</v>
      </c>
      <c r="F1" s="203"/>
      <c r="G1" s="203" t="s">
        <v>25</v>
      </c>
      <c r="H1" s="322" t="s">
        <v>14</v>
      </c>
      <c r="I1" s="323" t="s">
        <v>13</v>
      </c>
      <c r="J1" s="324" t="s">
        <v>16</v>
      </c>
      <c r="K1" s="325" t="s">
        <v>57</v>
      </c>
      <c r="L1" s="326" t="s">
        <v>56</v>
      </c>
      <c r="M1" s="327" t="s">
        <v>21</v>
      </c>
      <c r="N1" s="328" t="s">
        <v>22</v>
      </c>
      <c r="O1" s="329" t="s">
        <v>55</v>
      </c>
      <c r="P1" s="330" t="s">
        <v>4</v>
      </c>
      <c r="Q1" s="331" t="s">
        <v>5</v>
      </c>
      <c r="R1" s="332" t="s">
        <v>3</v>
      </c>
      <c r="S1" s="184" t="s">
        <v>118</v>
      </c>
      <c r="T1" s="343" t="s">
        <v>240</v>
      </c>
      <c r="U1" s="343" t="s">
        <v>95</v>
      </c>
      <c r="V1" s="354" t="s">
        <v>96</v>
      </c>
      <c r="W1" s="344" t="s">
        <v>117</v>
      </c>
      <c r="X1" s="334" t="s">
        <v>238</v>
      </c>
      <c r="Y1" s="334" t="s">
        <v>2</v>
      </c>
      <c r="Z1" s="334" t="s">
        <v>242</v>
      </c>
      <c r="AA1" s="334" t="s">
        <v>234</v>
      </c>
      <c r="AB1" s="334" t="s">
        <v>239</v>
      </c>
      <c r="AC1" s="184" t="s">
        <v>243</v>
      </c>
      <c r="AE1" s="534" t="s">
        <v>260</v>
      </c>
      <c r="AF1" s="534"/>
      <c r="AG1" s="534"/>
    </row>
    <row r="2" spans="1:33" ht="12.75">
      <c r="A2" s="299">
        <v>89</v>
      </c>
      <c r="B2" s="305" t="s">
        <v>184</v>
      </c>
      <c r="C2" s="305" t="str">
        <f aca="true" t="shared" si="0" ref="C2:C20">LOWER(B2)</f>
        <v>dave moore</v>
      </c>
      <c r="D2" s="242" t="s">
        <v>14</v>
      </c>
      <c r="E2" s="316" t="s">
        <v>264</v>
      </c>
      <c r="F2" s="242" t="s">
        <v>27</v>
      </c>
      <c r="G2" s="242"/>
      <c r="H2" s="416">
        <f>IF($D2=H$1,$S2,"")</f>
        <v>100</v>
      </c>
      <c r="I2" s="416">
        <f aca="true" t="shared" si="1" ref="I2:R6">IF($D2=I$1,$S2,"")</f>
      </c>
      <c r="J2" s="416">
        <f t="shared" si="1"/>
      </c>
      <c r="K2" s="416">
        <f t="shared" si="1"/>
      </c>
      <c r="L2" s="416">
        <f t="shared" si="1"/>
      </c>
      <c r="M2" s="416">
        <f t="shared" si="1"/>
      </c>
      <c r="N2" s="416">
        <f t="shared" si="1"/>
      </c>
      <c r="O2" s="416">
        <f t="shared" si="1"/>
      </c>
      <c r="P2" s="416">
        <f t="shared" si="1"/>
      </c>
      <c r="Q2" s="416">
        <f t="shared" si="1"/>
      </c>
      <c r="R2" s="511">
        <f t="shared" si="1"/>
      </c>
      <c r="S2" s="272">
        <f aca="true" t="shared" si="2" ref="S2:S20">_xlfn.IFERROR(VLOOKUP($Z2,Points,2,0),0)</f>
        <v>100</v>
      </c>
      <c r="T2" s="299">
        <f aca="true" t="shared" si="3" ref="T2:T20">AB2-S2</f>
        <v>0</v>
      </c>
      <c r="U2" s="380">
        <f aca="true" t="shared" si="4" ref="U2:U20">_xlfn.IFERROR(VLOOKUP(D2,BenchmarksRd5,3,0)*86400,"")</f>
        <v>83.047</v>
      </c>
      <c r="V2" s="381">
        <f>_xlfn.IFERROR((($E2*86400)-U2),"")</f>
        <v>1.916000000000011</v>
      </c>
      <c r="W2" s="243">
        <f aca="true" t="shared" si="5" ref="W2:W9">IF(V2&lt;=0,10,IF(V2&lt;1,5,IF(V2&lt;2,0,IF(V2&lt;3,-5,-10))))</f>
        <v>0</v>
      </c>
      <c r="X2" s="382">
        <f aca="true" t="shared" si="6" ref="X2:X20">_xlfn.IFERROR(VLOOKUP(D2,Class,4,0),"n/a")</f>
        <v>7</v>
      </c>
      <c r="Y2" s="382">
        <f aca="true" t="shared" si="7" ref="Y2:Y20">_xlfn.IFERROR(VLOOKUP(D2,Class,3,0),"n/a")</f>
        <v>11</v>
      </c>
      <c r="Z2" s="382">
        <f>IF($Y2="n/a","",_xlfn.IFERROR(COUNTIF($Y$2:$Y2,"="&amp;Y2),""))</f>
        <v>1</v>
      </c>
      <c r="AA2" s="382">
        <f>COUNTIF($X1:X$2,"&lt;"&amp;X2)</f>
        <v>0</v>
      </c>
      <c r="AB2" s="414">
        <f aca="true" t="shared" si="8" ref="AB2:AB20">IF($Y2="n/a",0,_xlfn.IFERROR(VLOOKUP(Z2+AA2,Points,2,0),15))</f>
        <v>100</v>
      </c>
      <c r="AC2" s="276">
        <f aca="true" t="shared" si="9" ref="AC2:AC20">(S2+T2+W2)</f>
        <v>100</v>
      </c>
      <c r="AE2" s="430" t="s">
        <v>3</v>
      </c>
      <c r="AF2" s="425" t="s">
        <v>161</v>
      </c>
      <c r="AG2" s="431">
        <v>0.0011239236111111111</v>
      </c>
    </row>
    <row r="3" spans="1:33" ht="12.75">
      <c r="A3" s="127">
        <v>39</v>
      </c>
      <c r="B3" s="73" t="s">
        <v>189</v>
      </c>
      <c r="C3" s="73" t="str">
        <f t="shared" si="0"/>
        <v>paul ledwith</v>
      </c>
      <c r="D3" s="76" t="s">
        <v>13</v>
      </c>
      <c r="E3" s="128" t="s">
        <v>265</v>
      </c>
      <c r="F3" s="77" t="s">
        <v>27</v>
      </c>
      <c r="G3" s="77"/>
      <c r="H3" s="79">
        <f>IF($D3=H$1,$S3,"")</f>
      </c>
      <c r="I3" s="79">
        <f t="shared" si="1"/>
        <v>100</v>
      </c>
      <c r="J3" s="79">
        <f t="shared" si="1"/>
      </c>
      <c r="K3" s="79">
        <f t="shared" si="1"/>
      </c>
      <c r="L3" s="79">
        <f t="shared" si="1"/>
      </c>
      <c r="M3" s="79">
        <f t="shared" si="1"/>
      </c>
      <c r="N3" s="79">
        <f t="shared" si="1"/>
      </c>
      <c r="O3" s="79">
        <f t="shared" si="1"/>
      </c>
      <c r="P3" s="79">
        <f t="shared" si="1"/>
      </c>
      <c r="Q3" s="79">
        <f t="shared" si="1"/>
      </c>
      <c r="R3" s="474">
        <f t="shared" si="1"/>
      </c>
      <c r="S3" s="115">
        <f t="shared" si="2"/>
        <v>100</v>
      </c>
      <c r="T3" s="127">
        <f t="shared" si="3"/>
        <v>0</v>
      </c>
      <c r="U3" s="462">
        <f t="shared" si="4"/>
        <v>84.987</v>
      </c>
      <c r="V3" s="356">
        <f>_xlfn.IFERROR((($E3*86400)-U3),"")</f>
        <v>1.9080000000000155</v>
      </c>
      <c r="W3" s="129">
        <f t="shared" si="5"/>
        <v>0</v>
      </c>
      <c r="X3" s="335">
        <f t="shared" si="6"/>
        <v>6</v>
      </c>
      <c r="Y3" s="335">
        <f t="shared" si="7"/>
        <v>10</v>
      </c>
      <c r="Z3" s="335">
        <f>IF($Y3="n/a","",_xlfn.IFERROR(COUNTIF($Y$2:$Y3,"="&amp;Y3),""))</f>
        <v>1</v>
      </c>
      <c r="AA3" s="335">
        <f>COUNTIF($X$2:X2,"&lt;"&amp;X3)</f>
        <v>0</v>
      </c>
      <c r="AB3" s="355">
        <f t="shared" si="8"/>
        <v>100</v>
      </c>
      <c r="AC3" s="69">
        <f t="shared" si="9"/>
        <v>100</v>
      </c>
      <c r="AE3" s="432" t="s">
        <v>5</v>
      </c>
      <c r="AF3" s="426" t="s">
        <v>250</v>
      </c>
      <c r="AG3" s="452">
        <v>0.001100925925925926</v>
      </c>
    </row>
    <row r="4" spans="1:33" ht="12.75">
      <c r="A4" s="115">
        <v>50</v>
      </c>
      <c r="B4" s="286" t="s">
        <v>153</v>
      </c>
      <c r="C4" s="286" t="str">
        <f t="shared" si="0"/>
        <v>alan conrad</v>
      </c>
      <c r="D4" s="37" t="s">
        <v>57</v>
      </c>
      <c r="E4" s="43" t="s">
        <v>266</v>
      </c>
      <c r="F4" s="37" t="s">
        <v>27</v>
      </c>
      <c r="G4" s="37"/>
      <c r="H4" s="419">
        <f>IF($D4=H$1,$S4,"")</f>
      </c>
      <c r="I4" s="419">
        <f t="shared" si="1"/>
      </c>
      <c r="J4" s="419">
        <f t="shared" si="1"/>
      </c>
      <c r="K4" s="419">
        <f t="shared" si="1"/>
        <v>100</v>
      </c>
      <c r="L4" s="419">
        <f t="shared" si="1"/>
      </c>
      <c r="M4" s="419">
        <f t="shared" si="1"/>
      </c>
      <c r="N4" s="419">
        <f t="shared" si="1"/>
      </c>
      <c r="O4" s="419">
        <f t="shared" si="1"/>
      </c>
      <c r="P4" s="419">
        <f t="shared" si="1"/>
      </c>
      <c r="Q4" s="419">
        <f t="shared" si="1"/>
      </c>
      <c r="R4" s="473">
        <f t="shared" si="1"/>
      </c>
      <c r="S4" s="115">
        <f t="shared" si="2"/>
        <v>100</v>
      </c>
      <c r="T4" s="115">
        <f t="shared" si="3"/>
        <v>0</v>
      </c>
      <c r="U4" s="373">
        <f t="shared" si="4"/>
        <v>90.99000000000001</v>
      </c>
      <c r="V4" s="528">
        <f aca="true" t="shared" si="10" ref="V4:V14">_xlfn.IFERROR((($E4*86400)-U4),"")</f>
        <v>0.006000000000000227</v>
      </c>
      <c r="W4" s="69">
        <f t="shared" si="5"/>
        <v>5</v>
      </c>
      <c r="X4" s="335">
        <f t="shared" si="6"/>
        <v>4</v>
      </c>
      <c r="Y4" s="335">
        <f t="shared" si="7"/>
        <v>8</v>
      </c>
      <c r="Z4" s="335">
        <f>IF($Y4="n/a","",_xlfn.IFERROR(COUNTIF($Y$2:$Y4,"="&amp;Y4),""))</f>
        <v>1</v>
      </c>
      <c r="AA4" s="335">
        <f>COUNTIF($X$2:X3,"&lt;"&amp;X4)</f>
        <v>0</v>
      </c>
      <c r="AB4" s="355">
        <f t="shared" si="8"/>
        <v>100</v>
      </c>
      <c r="AC4" s="69">
        <f t="shared" si="9"/>
        <v>105</v>
      </c>
      <c r="AE4" s="434" t="s">
        <v>4</v>
      </c>
      <c r="AF4" s="161" t="s">
        <v>251</v>
      </c>
      <c r="AG4" s="453">
        <v>0.0010593518518518517</v>
      </c>
    </row>
    <row r="5" spans="1:33" ht="12.75">
      <c r="A5" s="333">
        <v>242</v>
      </c>
      <c r="B5" s="5" t="s">
        <v>255</v>
      </c>
      <c r="C5" s="5" t="str">
        <f t="shared" si="0"/>
        <v>leon bogers</v>
      </c>
      <c r="D5" s="4" t="s">
        <v>26</v>
      </c>
      <c r="E5" s="7" t="s">
        <v>267</v>
      </c>
      <c r="F5" s="12" t="s">
        <v>222</v>
      </c>
      <c r="G5" s="12"/>
      <c r="H5" s="417">
        <f>IF($D5=H$1,$S5,"")</f>
      </c>
      <c r="I5" s="417">
        <f t="shared" si="1"/>
      </c>
      <c r="J5" s="417">
        <f t="shared" si="1"/>
      </c>
      <c r="K5" s="417">
        <f t="shared" si="1"/>
      </c>
      <c r="L5" s="417">
        <f t="shared" si="1"/>
      </c>
      <c r="M5" s="417">
        <f t="shared" si="1"/>
      </c>
      <c r="N5" s="417">
        <f t="shared" si="1"/>
      </c>
      <c r="O5" s="417">
        <f t="shared" si="1"/>
      </c>
      <c r="P5" s="417">
        <f t="shared" si="1"/>
      </c>
      <c r="Q5" s="417">
        <f t="shared" si="1"/>
      </c>
      <c r="R5" s="478">
        <f t="shared" si="1"/>
      </c>
      <c r="S5" s="115">
        <f t="shared" si="2"/>
        <v>0</v>
      </c>
      <c r="T5" s="333">
        <f t="shared" si="3"/>
        <v>0</v>
      </c>
      <c r="U5" s="186">
        <f t="shared" si="4"/>
      </c>
      <c r="V5" s="367">
        <f t="shared" si="10"/>
      </c>
      <c r="W5" s="117"/>
      <c r="X5" s="335" t="str">
        <f t="shared" si="6"/>
        <v>n/a</v>
      </c>
      <c r="Y5" s="335" t="str">
        <f t="shared" si="7"/>
        <v>n/a</v>
      </c>
      <c r="Z5" s="335">
        <f>IF($Y5="n/a","",_xlfn.IFERROR(COUNTIF($Y$2:$Y5,"="&amp;Y5),""))</f>
      </c>
      <c r="AA5" s="335">
        <f>COUNTIF($X$2:X4,"&lt;"&amp;X5)</f>
        <v>0</v>
      </c>
      <c r="AB5" s="355">
        <f t="shared" si="8"/>
        <v>0</v>
      </c>
      <c r="AC5" s="69">
        <f t="shared" si="9"/>
        <v>0</v>
      </c>
      <c r="AE5" s="436" t="s">
        <v>55</v>
      </c>
      <c r="AF5" s="153" t="s">
        <v>288</v>
      </c>
      <c r="AG5" s="350" t="s">
        <v>215</v>
      </c>
    </row>
    <row r="6" spans="1:33" ht="12.75">
      <c r="A6" s="121">
        <v>771</v>
      </c>
      <c r="B6" s="54" t="s">
        <v>169</v>
      </c>
      <c r="C6" s="54" t="str">
        <f t="shared" si="0"/>
        <v>simeon ouzas</v>
      </c>
      <c r="D6" s="55" t="s">
        <v>5</v>
      </c>
      <c r="E6" s="122" t="s">
        <v>268</v>
      </c>
      <c r="F6" s="55" t="s">
        <v>84</v>
      </c>
      <c r="G6" s="55"/>
      <c r="H6" s="424">
        <f>IF($D6=H$1,$S6,"")</f>
      </c>
      <c r="I6" s="424">
        <f t="shared" si="1"/>
      </c>
      <c r="J6" s="424">
        <f t="shared" si="1"/>
      </c>
      <c r="K6" s="424">
        <f t="shared" si="1"/>
      </c>
      <c r="L6" s="424">
        <f t="shared" si="1"/>
      </c>
      <c r="M6" s="424">
        <f t="shared" si="1"/>
      </c>
      <c r="N6" s="424">
        <f t="shared" si="1"/>
      </c>
      <c r="O6" s="424">
        <f t="shared" si="1"/>
      </c>
      <c r="P6" s="424">
        <f t="shared" si="1"/>
      </c>
      <c r="Q6" s="424">
        <f t="shared" si="1"/>
        <v>100</v>
      </c>
      <c r="R6" s="479">
        <f t="shared" si="1"/>
      </c>
      <c r="S6" s="115">
        <f t="shared" si="2"/>
        <v>100</v>
      </c>
      <c r="T6" s="121">
        <f t="shared" si="3"/>
        <v>0</v>
      </c>
      <c r="U6" s="377">
        <f t="shared" si="4"/>
        <v>95.12</v>
      </c>
      <c r="V6" s="369">
        <f t="shared" si="10"/>
        <v>0.47299999999998477</v>
      </c>
      <c r="W6" s="123">
        <f t="shared" si="5"/>
        <v>5</v>
      </c>
      <c r="X6" s="335">
        <f t="shared" si="6"/>
        <v>1</v>
      </c>
      <c r="Y6" s="335">
        <f t="shared" si="7"/>
        <v>2</v>
      </c>
      <c r="Z6" s="335">
        <f>IF($Y6="n/a","",_xlfn.IFERROR(COUNTIF($Y$2:$Y6,"="&amp;Y6),""))</f>
        <v>1</v>
      </c>
      <c r="AA6" s="335">
        <f>COUNTIF($X$2:X5,"&lt;"&amp;X6)</f>
        <v>0</v>
      </c>
      <c r="AB6" s="355">
        <f t="shared" si="8"/>
        <v>100</v>
      </c>
      <c r="AC6" s="69">
        <f t="shared" si="9"/>
        <v>105</v>
      </c>
      <c r="AE6" s="438" t="s">
        <v>22</v>
      </c>
      <c r="AF6" s="225" t="s">
        <v>161</v>
      </c>
      <c r="AG6" s="455">
        <v>0.0011213541666666665</v>
      </c>
    </row>
    <row r="7" spans="1:33" ht="12.75">
      <c r="A7" s="118">
        <v>62</v>
      </c>
      <c r="B7" s="35" t="s">
        <v>159</v>
      </c>
      <c r="C7" s="35" t="str">
        <f t="shared" si="0"/>
        <v>noel heritage</v>
      </c>
      <c r="D7" s="38" t="s">
        <v>21</v>
      </c>
      <c r="E7" s="228" t="s">
        <v>269</v>
      </c>
      <c r="F7" s="38" t="s">
        <v>27</v>
      </c>
      <c r="G7" s="38"/>
      <c r="H7" s="423">
        <f aca="true" t="shared" si="11" ref="H7:R20">IF($D7=H$1,$S7,"")</f>
      </c>
      <c r="I7" s="423">
        <f t="shared" si="11"/>
      </c>
      <c r="J7" s="423">
        <f t="shared" si="11"/>
      </c>
      <c r="K7" s="423">
        <f t="shared" si="11"/>
      </c>
      <c r="L7" s="423">
        <f t="shared" si="11"/>
      </c>
      <c r="M7" s="423">
        <f t="shared" si="11"/>
        <v>100</v>
      </c>
      <c r="N7" s="423">
        <f t="shared" si="11"/>
      </c>
      <c r="O7" s="423">
        <f t="shared" si="11"/>
      </c>
      <c r="P7" s="423">
        <f t="shared" si="11"/>
      </c>
      <c r="Q7" s="423">
        <f t="shared" si="11"/>
      </c>
      <c r="R7" s="476">
        <f t="shared" si="11"/>
      </c>
      <c r="S7" s="115">
        <f t="shared" si="2"/>
        <v>100</v>
      </c>
      <c r="T7" s="118">
        <f t="shared" si="3"/>
        <v>-25</v>
      </c>
      <c r="U7" s="376">
        <f t="shared" si="4"/>
        <v>94.34800000000001</v>
      </c>
      <c r="V7" s="364">
        <f t="shared" si="10"/>
        <v>1.5209999999999866</v>
      </c>
      <c r="W7" s="120">
        <f t="shared" si="5"/>
        <v>0</v>
      </c>
      <c r="X7" s="335">
        <f t="shared" si="6"/>
        <v>2</v>
      </c>
      <c r="Y7" s="335">
        <f t="shared" si="7"/>
        <v>4</v>
      </c>
      <c r="Z7" s="335">
        <f>IF($Y7="n/a","",_xlfn.IFERROR(COUNTIF($Y$2:$Y7,"="&amp;Y7),""))</f>
        <v>1</v>
      </c>
      <c r="AA7" s="335">
        <f>COUNTIF($X$2:X6,"&lt;"&amp;X7)</f>
        <v>1</v>
      </c>
      <c r="AB7" s="355">
        <f t="shared" si="8"/>
        <v>75</v>
      </c>
      <c r="AC7" s="69">
        <f t="shared" si="9"/>
        <v>75</v>
      </c>
      <c r="AE7" s="440" t="s">
        <v>21</v>
      </c>
      <c r="AF7" s="46" t="s">
        <v>254</v>
      </c>
      <c r="AG7" s="456">
        <v>0.0010919907407407408</v>
      </c>
    </row>
    <row r="8" spans="1:33" ht="12.75">
      <c r="A8" s="121">
        <v>612</v>
      </c>
      <c r="B8" s="54" t="s">
        <v>166</v>
      </c>
      <c r="C8" s="54" t="str">
        <f t="shared" si="0"/>
        <v>gareth pedley</v>
      </c>
      <c r="D8" s="55" t="s">
        <v>5</v>
      </c>
      <c r="E8" s="122" t="s">
        <v>270</v>
      </c>
      <c r="F8" s="55" t="s">
        <v>84</v>
      </c>
      <c r="G8" s="55"/>
      <c r="H8" s="424">
        <f t="shared" si="11"/>
      </c>
      <c r="I8" s="424">
        <f t="shared" si="11"/>
      </c>
      <c r="J8" s="424">
        <f t="shared" si="11"/>
      </c>
      <c r="K8" s="424">
        <f t="shared" si="11"/>
      </c>
      <c r="L8" s="424">
        <f t="shared" si="11"/>
      </c>
      <c r="M8" s="424">
        <f t="shared" si="11"/>
      </c>
      <c r="N8" s="424">
        <f t="shared" si="11"/>
      </c>
      <c r="O8" s="424">
        <f t="shared" si="11"/>
      </c>
      <c r="P8" s="424">
        <f t="shared" si="11"/>
      </c>
      <c r="Q8" s="424">
        <f t="shared" si="11"/>
        <v>75</v>
      </c>
      <c r="R8" s="479">
        <f t="shared" si="11"/>
      </c>
      <c r="S8" s="115">
        <f t="shared" si="2"/>
        <v>75</v>
      </c>
      <c r="T8" s="121">
        <f t="shared" si="3"/>
        <v>0</v>
      </c>
      <c r="U8" s="377">
        <f t="shared" si="4"/>
        <v>95.12</v>
      </c>
      <c r="V8" s="369">
        <f t="shared" si="10"/>
        <v>0.8349999999999937</v>
      </c>
      <c r="W8" s="123">
        <f t="shared" si="5"/>
        <v>5</v>
      </c>
      <c r="X8" s="335">
        <f t="shared" si="6"/>
        <v>1</v>
      </c>
      <c r="Y8" s="335">
        <f t="shared" si="7"/>
        <v>2</v>
      </c>
      <c r="Z8" s="335">
        <f>IF($Y8="n/a","",_xlfn.IFERROR(COUNTIF($Y$2:$Y8,"="&amp;Y8),""))</f>
        <v>2</v>
      </c>
      <c r="AA8" s="335">
        <f>COUNTIF($X$2:X7,"&lt;"&amp;X8)</f>
        <v>0</v>
      </c>
      <c r="AB8" s="355">
        <f t="shared" si="8"/>
        <v>75</v>
      </c>
      <c r="AC8" s="69">
        <f t="shared" si="9"/>
        <v>80</v>
      </c>
      <c r="AE8" s="442" t="s">
        <v>56</v>
      </c>
      <c r="AF8" s="463" t="s">
        <v>196</v>
      </c>
      <c r="AG8" s="346" t="s">
        <v>197</v>
      </c>
    </row>
    <row r="9" spans="1:33" ht="12.75">
      <c r="A9" s="118">
        <v>119</v>
      </c>
      <c r="B9" s="35" t="s">
        <v>218</v>
      </c>
      <c r="C9" s="35" t="str">
        <f t="shared" si="0"/>
        <v>peter dannock</v>
      </c>
      <c r="D9" s="38" t="s">
        <v>21</v>
      </c>
      <c r="E9" s="228" t="s">
        <v>271</v>
      </c>
      <c r="F9" s="38" t="s">
        <v>27</v>
      </c>
      <c r="G9" s="38"/>
      <c r="H9" s="423">
        <f t="shared" si="11"/>
      </c>
      <c r="I9" s="423">
        <f t="shared" si="11"/>
      </c>
      <c r="J9" s="423">
        <f t="shared" si="11"/>
      </c>
      <c r="K9" s="423">
        <f t="shared" si="11"/>
      </c>
      <c r="L9" s="423">
        <f t="shared" si="11"/>
      </c>
      <c r="M9" s="423">
        <f t="shared" si="11"/>
        <v>75</v>
      </c>
      <c r="N9" s="423">
        <f t="shared" si="11"/>
      </c>
      <c r="O9" s="423">
        <f t="shared" si="11"/>
      </c>
      <c r="P9" s="423">
        <f t="shared" si="11"/>
      </c>
      <c r="Q9" s="423">
        <f t="shared" si="11"/>
      </c>
      <c r="R9" s="476">
        <f t="shared" si="11"/>
      </c>
      <c r="S9" s="115">
        <f t="shared" si="2"/>
        <v>75</v>
      </c>
      <c r="T9" s="118">
        <f t="shared" si="3"/>
        <v>-30</v>
      </c>
      <c r="U9" s="376">
        <f t="shared" si="4"/>
        <v>94.34800000000001</v>
      </c>
      <c r="V9" s="364">
        <f t="shared" si="10"/>
        <v>1.6619999999999777</v>
      </c>
      <c r="W9" s="120">
        <f t="shared" si="5"/>
        <v>0</v>
      </c>
      <c r="X9" s="335">
        <f t="shared" si="6"/>
        <v>2</v>
      </c>
      <c r="Y9" s="335">
        <f t="shared" si="7"/>
        <v>4</v>
      </c>
      <c r="Z9" s="335">
        <f>IF($Y9="n/a","",_xlfn.IFERROR(COUNTIF($Y$2:$Y9,"="&amp;Y9),""))</f>
        <v>2</v>
      </c>
      <c r="AA9" s="335">
        <f>COUNTIF($X$2:X8,"&lt;"&amp;X9)</f>
        <v>2</v>
      </c>
      <c r="AB9" s="355">
        <f t="shared" si="8"/>
        <v>45</v>
      </c>
      <c r="AC9" s="69">
        <f t="shared" si="9"/>
        <v>45</v>
      </c>
      <c r="AE9" s="443" t="s">
        <v>57</v>
      </c>
      <c r="AF9" s="464" t="s">
        <v>153</v>
      </c>
      <c r="AG9" s="188" t="s">
        <v>213</v>
      </c>
    </row>
    <row r="10" spans="1:33" ht="12.75">
      <c r="A10" s="121">
        <v>129</v>
      </c>
      <c r="B10" s="63" t="s">
        <v>182</v>
      </c>
      <c r="C10" s="54" t="str">
        <f t="shared" si="0"/>
        <v>steve williamsz</v>
      </c>
      <c r="D10" s="55" t="s">
        <v>5</v>
      </c>
      <c r="E10" s="122" t="s">
        <v>272</v>
      </c>
      <c r="F10" s="55" t="s">
        <v>84</v>
      </c>
      <c r="G10" s="55"/>
      <c r="H10" s="424">
        <f t="shared" si="11"/>
      </c>
      <c r="I10" s="424">
        <f t="shared" si="11"/>
      </c>
      <c r="J10" s="424">
        <f t="shared" si="11"/>
      </c>
      <c r="K10" s="424">
        <f t="shared" si="11"/>
      </c>
      <c r="L10" s="424">
        <f t="shared" si="11"/>
      </c>
      <c r="M10" s="424">
        <f t="shared" si="11"/>
      </c>
      <c r="N10" s="424">
        <f t="shared" si="11"/>
      </c>
      <c r="O10" s="424">
        <f t="shared" si="11"/>
      </c>
      <c r="P10" s="424">
        <f t="shared" si="11"/>
      </c>
      <c r="Q10" s="424">
        <f t="shared" si="11"/>
        <v>60</v>
      </c>
      <c r="R10" s="479">
        <f t="shared" si="11"/>
      </c>
      <c r="S10" s="115">
        <f t="shared" si="2"/>
        <v>60</v>
      </c>
      <c r="T10" s="121">
        <f t="shared" si="3"/>
        <v>0</v>
      </c>
      <c r="U10" s="377">
        <f t="shared" si="4"/>
        <v>95.12</v>
      </c>
      <c r="V10" s="369">
        <f t="shared" si="10"/>
        <v>1.5079999999999814</v>
      </c>
      <c r="W10" s="123">
        <f>IF(V10&lt;=0,10,IF(V10&lt;1,5,IF(V10&lt;2,0,IF(V10&lt;3,-5,-10))))</f>
        <v>0</v>
      </c>
      <c r="X10" s="335">
        <f t="shared" si="6"/>
        <v>1</v>
      </c>
      <c r="Y10" s="335">
        <f t="shared" si="7"/>
        <v>2</v>
      </c>
      <c r="Z10" s="335">
        <f>IF($Y10="n/a","",_xlfn.IFERROR(COUNTIF($Y$2:$Y10,"="&amp;Y10),""))</f>
        <v>3</v>
      </c>
      <c r="AA10" s="335">
        <f>COUNTIF($X$2:X9,"&lt;"&amp;X10)</f>
        <v>0</v>
      </c>
      <c r="AB10" s="355">
        <f t="shared" si="8"/>
        <v>60</v>
      </c>
      <c r="AC10" s="69">
        <f t="shared" si="9"/>
        <v>60</v>
      </c>
      <c r="AE10" s="444" t="s">
        <v>16</v>
      </c>
      <c r="AF10" s="428" t="s">
        <v>256</v>
      </c>
      <c r="AG10" s="459">
        <v>0.001024664351851852</v>
      </c>
    </row>
    <row r="11" spans="1:33" ht="12.75">
      <c r="A11" s="287">
        <v>26</v>
      </c>
      <c r="B11" s="288" t="s">
        <v>161</v>
      </c>
      <c r="C11" s="288" t="str">
        <f t="shared" si="0"/>
        <v>robert downes</v>
      </c>
      <c r="D11" s="235" t="s">
        <v>22</v>
      </c>
      <c r="E11" s="289" t="s">
        <v>273</v>
      </c>
      <c r="F11" s="235" t="s">
        <v>126</v>
      </c>
      <c r="G11" s="235"/>
      <c r="H11" s="422">
        <f t="shared" si="11"/>
      </c>
      <c r="I11" s="422">
        <f t="shared" si="11"/>
      </c>
      <c r="J11" s="422">
        <f t="shared" si="11"/>
      </c>
      <c r="K11" s="422">
        <f t="shared" si="11"/>
      </c>
      <c r="L11" s="422">
        <f t="shared" si="11"/>
      </c>
      <c r="M11" s="422">
        <f t="shared" si="11"/>
      </c>
      <c r="N11" s="422">
        <f t="shared" si="11"/>
        <v>100</v>
      </c>
      <c r="O11" s="422">
        <f t="shared" si="11"/>
      </c>
      <c r="P11" s="422">
        <f t="shared" si="11"/>
      </c>
      <c r="Q11" s="422">
        <f t="shared" si="11"/>
      </c>
      <c r="R11" s="477">
        <f t="shared" si="11"/>
      </c>
      <c r="S11" s="115">
        <f t="shared" si="2"/>
        <v>100</v>
      </c>
      <c r="T11" s="287">
        <f t="shared" si="3"/>
        <v>-55</v>
      </c>
      <c r="U11" s="378">
        <f t="shared" si="4"/>
        <v>96.88499999999999</v>
      </c>
      <c r="V11" s="366">
        <f t="shared" si="10"/>
        <v>0.17199999999999704</v>
      </c>
      <c r="W11" s="236">
        <f>IF(V11&lt;=0,10,IF(V11&lt;1,5,IF(V11&lt;2,0,IF(V11&lt;3,-5,-10))))</f>
        <v>5</v>
      </c>
      <c r="X11" s="335">
        <f t="shared" si="6"/>
        <v>2</v>
      </c>
      <c r="Y11" s="335">
        <f t="shared" si="7"/>
        <v>3</v>
      </c>
      <c r="Z11" s="335">
        <f>IF($Y11="n/a","",_xlfn.IFERROR(COUNTIF($Y$2:$Y11,"="&amp;Y11),""))</f>
        <v>1</v>
      </c>
      <c r="AA11" s="335">
        <f>COUNTIF($X$2:X10,"&lt;"&amp;X11)</f>
        <v>3</v>
      </c>
      <c r="AB11" s="355">
        <f t="shared" si="8"/>
        <v>45</v>
      </c>
      <c r="AC11" s="69">
        <f t="shared" si="9"/>
        <v>50</v>
      </c>
      <c r="AE11" s="446" t="s">
        <v>13</v>
      </c>
      <c r="AF11" s="429" t="s">
        <v>189</v>
      </c>
      <c r="AG11" s="460">
        <v>0.0009836458333333333</v>
      </c>
    </row>
    <row r="12" spans="1:33" ht="13.5" thickBot="1">
      <c r="A12" s="514">
        <v>112</v>
      </c>
      <c r="B12" s="162" t="s">
        <v>274</v>
      </c>
      <c r="C12" s="162" t="str">
        <f t="shared" si="0"/>
        <v>ian vague</v>
      </c>
      <c r="D12" s="159" t="s">
        <v>4</v>
      </c>
      <c r="E12" s="526" t="s">
        <v>275</v>
      </c>
      <c r="F12" s="159" t="s">
        <v>84</v>
      </c>
      <c r="G12" s="159"/>
      <c r="H12" s="512">
        <f t="shared" si="11"/>
      </c>
      <c r="I12" s="512">
        <f t="shared" si="11"/>
      </c>
      <c r="J12" s="512">
        <f t="shared" si="11"/>
      </c>
      <c r="K12" s="512">
        <f t="shared" si="11"/>
      </c>
      <c r="L12" s="512">
        <f t="shared" si="11"/>
      </c>
      <c r="M12" s="512">
        <f t="shared" si="11"/>
      </c>
      <c r="N12" s="512">
        <f t="shared" si="11"/>
      </c>
      <c r="O12" s="512">
        <f t="shared" si="11"/>
      </c>
      <c r="P12" s="512">
        <f t="shared" si="11"/>
        <v>100</v>
      </c>
      <c r="Q12" s="512">
        <f t="shared" si="11"/>
      </c>
      <c r="R12" s="513">
        <f t="shared" si="11"/>
      </c>
      <c r="S12" s="115">
        <f t="shared" si="2"/>
        <v>100</v>
      </c>
      <c r="T12" s="514">
        <f t="shared" si="3"/>
        <v>-85</v>
      </c>
      <c r="U12" s="515">
        <f t="shared" si="4"/>
        <v>91.52799999999999</v>
      </c>
      <c r="V12" s="516">
        <f t="shared" si="10"/>
        <v>5.605000000000018</v>
      </c>
      <c r="W12" s="517">
        <f>IF(V12&lt;=0,10,IF(V12&lt;1,5,IF(V12&lt;2,0,IF(V12&lt;3,-5,-10))))</f>
        <v>-10</v>
      </c>
      <c r="X12" s="335">
        <f t="shared" si="6"/>
        <v>3</v>
      </c>
      <c r="Y12" s="335">
        <f t="shared" si="7"/>
        <v>5</v>
      </c>
      <c r="Z12" s="335">
        <f>IF($Y12="n/a","",_xlfn.IFERROR(COUNTIF($Y$2:$Y12,"="&amp;Y12),""))</f>
        <v>1</v>
      </c>
      <c r="AA12" s="335">
        <f>COUNTIF($X$2:X11,"&lt;"&amp;X12)</f>
        <v>6</v>
      </c>
      <c r="AB12" s="355">
        <f t="shared" si="8"/>
        <v>15</v>
      </c>
      <c r="AC12" s="69">
        <f t="shared" si="9"/>
        <v>5</v>
      </c>
      <c r="AE12" s="448" t="s">
        <v>14</v>
      </c>
      <c r="AF12" s="449" t="s">
        <v>259</v>
      </c>
      <c r="AG12" s="461">
        <v>0.0009611921296296297</v>
      </c>
    </row>
    <row r="13" spans="1:29" ht="12.75">
      <c r="A13" s="116">
        <v>205</v>
      </c>
      <c r="B13" s="1" t="s">
        <v>227</v>
      </c>
      <c r="C13" s="1" t="str">
        <f t="shared" si="0"/>
        <v>john reid</v>
      </c>
      <c r="D13" s="8" t="s">
        <v>26</v>
      </c>
      <c r="E13" s="17" t="s">
        <v>276</v>
      </c>
      <c r="F13" s="8" t="s">
        <v>212</v>
      </c>
      <c r="G13" s="12"/>
      <c r="H13" s="417">
        <f t="shared" si="11"/>
      </c>
      <c r="I13" s="417">
        <f t="shared" si="11"/>
      </c>
      <c r="J13" s="417">
        <f t="shared" si="11"/>
      </c>
      <c r="K13" s="417">
        <f t="shared" si="11"/>
      </c>
      <c r="L13" s="417">
        <f t="shared" si="11"/>
      </c>
      <c r="M13" s="417">
        <f t="shared" si="11"/>
      </c>
      <c r="N13" s="417">
        <f t="shared" si="11"/>
      </c>
      <c r="O13" s="417">
        <f t="shared" si="11"/>
      </c>
      <c r="P13" s="417">
        <f t="shared" si="11"/>
      </c>
      <c r="Q13" s="417">
        <f t="shared" si="11"/>
      </c>
      <c r="R13" s="478">
        <f t="shared" si="11"/>
      </c>
      <c r="S13" s="115">
        <f t="shared" si="2"/>
        <v>0</v>
      </c>
      <c r="T13" s="333">
        <f t="shared" si="3"/>
        <v>0</v>
      </c>
      <c r="U13" s="186">
        <f t="shared" si="4"/>
      </c>
      <c r="V13" s="367"/>
      <c r="W13" s="117"/>
      <c r="X13" s="335" t="str">
        <f t="shared" si="6"/>
        <v>n/a</v>
      </c>
      <c r="Y13" s="335" t="str">
        <f t="shared" si="7"/>
        <v>n/a</v>
      </c>
      <c r="Z13" s="335">
        <f>IF($Y13="n/a","",_xlfn.IFERROR(COUNTIF($Y$2:$Y13,"="&amp;Y13),""))</f>
      </c>
      <c r="AA13" s="335">
        <f>COUNTIF($X$2:X12,"&lt;"&amp;X13)</f>
        <v>0</v>
      </c>
      <c r="AB13" s="355">
        <f t="shared" si="8"/>
        <v>0</v>
      </c>
      <c r="AC13" s="69">
        <f t="shared" si="9"/>
        <v>0</v>
      </c>
    </row>
    <row r="14" spans="1:29" ht="12.75">
      <c r="A14" s="514">
        <v>36</v>
      </c>
      <c r="B14" s="162" t="s">
        <v>277</v>
      </c>
      <c r="C14" s="162" t="str">
        <f t="shared" si="0"/>
        <v>malcolm leigh</v>
      </c>
      <c r="D14" s="159" t="s">
        <v>4</v>
      </c>
      <c r="E14" s="526" t="s">
        <v>278</v>
      </c>
      <c r="F14" s="159" t="s">
        <v>129</v>
      </c>
      <c r="G14" s="159"/>
      <c r="H14" s="512">
        <f t="shared" si="11"/>
      </c>
      <c r="I14" s="512">
        <f t="shared" si="11"/>
      </c>
      <c r="J14" s="512">
        <f t="shared" si="11"/>
      </c>
      <c r="K14" s="512">
        <f t="shared" si="11"/>
      </c>
      <c r="L14" s="512">
        <f t="shared" si="11"/>
      </c>
      <c r="M14" s="512">
        <f t="shared" si="11"/>
      </c>
      <c r="N14" s="512">
        <f t="shared" si="11"/>
      </c>
      <c r="O14" s="512">
        <f t="shared" si="11"/>
      </c>
      <c r="P14" s="512">
        <f t="shared" si="11"/>
        <v>75</v>
      </c>
      <c r="Q14" s="512">
        <f t="shared" si="11"/>
      </c>
      <c r="R14" s="513">
        <f t="shared" si="11"/>
      </c>
      <c r="S14" s="115">
        <f t="shared" si="2"/>
        <v>75</v>
      </c>
      <c r="T14" s="514">
        <f t="shared" si="3"/>
        <v>-60</v>
      </c>
      <c r="U14" s="515">
        <f t="shared" si="4"/>
        <v>91.52799999999999</v>
      </c>
      <c r="V14" s="516">
        <f t="shared" si="10"/>
        <v>6.9010000000000105</v>
      </c>
      <c r="W14" s="517">
        <f>IF(V14&lt;=0,10,IF(V14&lt;1,5,IF(V14&lt;2,0,IF(V14&lt;3,-5,-10))))</f>
        <v>-10</v>
      </c>
      <c r="X14" s="335">
        <f t="shared" si="6"/>
        <v>3</v>
      </c>
      <c r="Y14" s="335">
        <f t="shared" si="7"/>
        <v>5</v>
      </c>
      <c r="Z14" s="335">
        <f>IF($Y14="n/a","",_xlfn.IFERROR(COUNTIF($Y$2:$Y14,"="&amp;Y14),""))</f>
        <v>2</v>
      </c>
      <c r="AA14" s="335">
        <f>COUNTIF($X$2:X13,"&lt;"&amp;X14)</f>
        <v>6</v>
      </c>
      <c r="AB14" s="355">
        <f t="shared" si="8"/>
        <v>15</v>
      </c>
      <c r="AC14" s="69">
        <f t="shared" si="9"/>
        <v>5</v>
      </c>
    </row>
    <row r="15" spans="1:29" ht="12.75">
      <c r="A15" s="116">
        <v>73</v>
      </c>
      <c r="B15" s="1" t="s">
        <v>279</v>
      </c>
      <c r="C15" s="1" t="str">
        <f t="shared" si="0"/>
        <v>jarrah pitt</v>
      </c>
      <c r="D15" s="8" t="s">
        <v>26</v>
      </c>
      <c r="E15" s="17" t="s">
        <v>280</v>
      </c>
      <c r="F15" s="8" t="s">
        <v>212</v>
      </c>
      <c r="G15" s="12"/>
      <c r="H15" s="417">
        <f t="shared" si="11"/>
      </c>
      <c r="I15" s="417">
        <f t="shared" si="11"/>
      </c>
      <c r="J15" s="417">
        <f t="shared" si="11"/>
      </c>
      <c r="K15" s="417">
        <f t="shared" si="11"/>
      </c>
      <c r="L15" s="417">
        <f t="shared" si="11"/>
      </c>
      <c r="M15" s="417">
        <f t="shared" si="11"/>
      </c>
      <c r="N15" s="417">
        <f t="shared" si="11"/>
      </c>
      <c r="O15" s="417">
        <f t="shared" si="11"/>
      </c>
      <c r="P15" s="417">
        <f t="shared" si="11"/>
      </c>
      <c r="Q15" s="417">
        <f t="shared" si="11"/>
      </c>
      <c r="R15" s="478">
        <f t="shared" si="11"/>
      </c>
      <c r="S15" s="115">
        <f t="shared" si="2"/>
        <v>0</v>
      </c>
      <c r="T15" s="333">
        <f t="shared" si="3"/>
        <v>0</v>
      </c>
      <c r="U15" s="186">
        <f t="shared" si="4"/>
      </c>
      <c r="V15" s="367"/>
      <c r="W15" s="117"/>
      <c r="X15" s="335" t="str">
        <f t="shared" si="6"/>
        <v>n/a</v>
      </c>
      <c r="Y15" s="335" t="str">
        <f t="shared" si="7"/>
        <v>n/a</v>
      </c>
      <c r="Z15" s="335">
        <f>IF($Y15="n/a","",_xlfn.IFERROR(COUNTIF($Y$2:$Y15,"="&amp;Y15),""))</f>
      </c>
      <c r="AA15" s="335">
        <f>COUNTIF($X$2:X14,"&lt;"&amp;X15)</f>
        <v>0</v>
      </c>
      <c r="AB15" s="355">
        <f t="shared" si="8"/>
        <v>0</v>
      </c>
      <c r="AC15" s="69">
        <f t="shared" si="9"/>
        <v>0</v>
      </c>
    </row>
    <row r="16" spans="1:29" ht="12.75">
      <c r="A16" s="116">
        <v>14</v>
      </c>
      <c r="B16" s="1" t="s">
        <v>210</v>
      </c>
      <c r="C16" s="1" t="str">
        <f t="shared" si="0"/>
        <v>deaglan gahan</v>
      </c>
      <c r="D16" s="8" t="s">
        <v>26</v>
      </c>
      <c r="E16" s="17" t="s">
        <v>281</v>
      </c>
      <c r="F16" s="8" t="s">
        <v>222</v>
      </c>
      <c r="G16" s="12"/>
      <c r="H16" s="417">
        <f t="shared" si="11"/>
      </c>
      <c r="I16" s="417">
        <f t="shared" si="11"/>
      </c>
      <c r="J16" s="417">
        <f t="shared" si="11"/>
      </c>
      <c r="K16" s="417">
        <f t="shared" si="11"/>
      </c>
      <c r="L16" s="417">
        <f t="shared" si="11"/>
      </c>
      <c r="M16" s="417">
        <f t="shared" si="11"/>
      </c>
      <c r="N16" s="417">
        <f t="shared" si="11"/>
      </c>
      <c r="O16" s="417">
        <f t="shared" si="11"/>
      </c>
      <c r="P16" s="417">
        <f t="shared" si="11"/>
      </c>
      <c r="Q16" s="417">
        <f t="shared" si="11"/>
      </c>
      <c r="R16" s="478">
        <f t="shared" si="11"/>
      </c>
      <c r="S16" s="115">
        <f t="shared" si="2"/>
        <v>0</v>
      </c>
      <c r="T16" s="333">
        <f t="shared" si="3"/>
        <v>0</v>
      </c>
      <c r="U16" s="186">
        <f t="shared" si="4"/>
      </c>
      <c r="V16" s="367"/>
      <c r="W16" s="117"/>
      <c r="X16" s="335" t="str">
        <f t="shared" si="6"/>
        <v>n/a</v>
      </c>
      <c r="Y16" s="335" t="str">
        <f t="shared" si="7"/>
        <v>n/a</v>
      </c>
      <c r="Z16" s="335">
        <f>IF($Y16="n/a","",_xlfn.IFERROR(COUNTIF($Y$2:$Y16,"="&amp;Y16),""))</f>
      </c>
      <c r="AA16" s="335">
        <f>COUNTIF($X$2:X15,"&lt;"&amp;X16)</f>
        <v>0</v>
      </c>
      <c r="AB16" s="355">
        <f t="shared" si="8"/>
        <v>0</v>
      </c>
      <c r="AC16" s="69">
        <f t="shared" si="9"/>
        <v>0</v>
      </c>
    </row>
    <row r="17" spans="1:29" ht="12.75">
      <c r="A17" s="116">
        <v>66</v>
      </c>
      <c r="B17" s="1" t="s">
        <v>282</v>
      </c>
      <c r="C17" s="1" t="str">
        <f t="shared" si="0"/>
        <v>mike graham</v>
      </c>
      <c r="D17" s="8" t="s">
        <v>26</v>
      </c>
      <c r="E17" s="17" t="s">
        <v>283</v>
      </c>
      <c r="F17" s="8" t="s">
        <v>220</v>
      </c>
      <c r="G17" s="12"/>
      <c r="H17" s="417">
        <f t="shared" si="11"/>
      </c>
      <c r="I17" s="417">
        <f t="shared" si="11"/>
      </c>
      <c r="J17" s="417">
        <f t="shared" si="11"/>
      </c>
      <c r="K17" s="417">
        <f t="shared" si="11"/>
      </c>
      <c r="L17" s="417">
        <f t="shared" si="11"/>
      </c>
      <c r="M17" s="417">
        <f t="shared" si="11"/>
      </c>
      <c r="N17" s="417">
        <f t="shared" si="11"/>
      </c>
      <c r="O17" s="417">
        <f t="shared" si="11"/>
      </c>
      <c r="P17" s="417">
        <f t="shared" si="11"/>
      </c>
      <c r="Q17" s="417">
        <f t="shared" si="11"/>
      </c>
      <c r="R17" s="478">
        <f t="shared" si="11"/>
      </c>
      <c r="S17" s="115">
        <f t="shared" si="2"/>
        <v>0</v>
      </c>
      <c r="T17" s="333">
        <f t="shared" si="3"/>
        <v>0</v>
      </c>
      <c r="U17" s="186">
        <f t="shared" si="4"/>
      </c>
      <c r="V17" s="367"/>
      <c r="W17" s="117"/>
      <c r="X17" s="335" t="str">
        <f t="shared" si="6"/>
        <v>n/a</v>
      </c>
      <c r="Y17" s="335" t="str">
        <f t="shared" si="7"/>
        <v>n/a</v>
      </c>
      <c r="Z17" s="335">
        <f>IF($Y17="n/a","",_xlfn.IFERROR(COUNTIF($Y$2:$Y17,"="&amp;Y17),""))</f>
      </c>
      <c r="AA17" s="335">
        <f>COUNTIF($X$2:X16,"&lt;"&amp;X17)</f>
        <v>0</v>
      </c>
      <c r="AB17" s="355">
        <f t="shared" si="8"/>
        <v>0</v>
      </c>
      <c r="AC17" s="69">
        <f t="shared" si="9"/>
        <v>0</v>
      </c>
    </row>
    <row r="18" spans="1:29" ht="12.75">
      <c r="A18" s="116">
        <v>53</v>
      </c>
      <c r="B18" s="1" t="s">
        <v>284</v>
      </c>
      <c r="C18" s="1" t="str">
        <f t="shared" si="0"/>
        <v>greg whyte</v>
      </c>
      <c r="D18" s="8" t="s">
        <v>26</v>
      </c>
      <c r="E18" s="17" t="s">
        <v>285</v>
      </c>
      <c r="F18" s="8" t="s">
        <v>222</v>
      </c>
      <c r="G18" s="12"/>
      <c r="H18" s="417">
        <f t="shared" si="11"/>
      </c>
      <c r="I18" s="417">
        <f t="shared" si="11"/>
      </c>
      <c r="J18" s="417">
        <f t="shared" si="11"/>
      </c>
      <c r="K18" s="417">
        <f t="shared" si="11"/>
      </c>
      <c r="L18" s="417">
        <f t="shared" si="11"/>
      </c>
      <c r="M18" s="417">
        <f t="shared" si="11"/>
      </c>
      <c r="N18" s="417">
        <f t="shared" si="11"/>
      </c>
      <c r="O18" s="417">
        <f t="shared" si="11"/>
      </c>
      <c r="P18" s="417">
        <f t="shared" si="11"/>
      </c>
      <c r="Q18" s="417">
        <f t="shared" si="11"/>
      </c>
      <c r="R18" s="478">
        <f t="shared" si="11"/>
      </c>
      <c r="S18" s="115">
        <f t="shared" si="2"/>
        <v>0</v>
      </c>
      <c r="T18" s="333">
        <f t="shared" si="3"/>
        <v>0</v>
      </c>
      <c r="U18" s="186">
        <f t="shared" si="4"/>
      </c>
      <c r="V18" s="367"/>
      <c r="W18" s="117"/>
      <c r="X18" s="335" t="str">
        <f t="shared" si="6"/>
        <v>n/a</v>
      </c>
      <c r="Y18" s="335" t="str">
        <f t="shared" si="7"/>
        <v>n/a</v>
      </c>
      <c r="Z18" s="335">
        <f>IF($Y18="n/a","",_xlfn.IFERROR(COUNTIF($Y$2:$Y18,"="&amp;Y18),""))</f>
      </c>
      <c r="AA18" s="335">
        <f>COUNTIF($X$2:X17,"&lt;"&amp;X18)</f>
        <v>0</v>
      </c>
      <c r="AB18" s="355">
        <f t="shared" si="8"/>
        <v>0</v>
      </c>
      <c r="AC18" s="69">
        <f t="shared" si="9"/>
        <v>0</v>
      </c>
    </row>
    <row r="19" spans="1:29" ht="12.75">
      <c r="A19" s="116">
        <v>25</v>
      </c>
      <c r="B19" s="1" t="s">
        <v>261</v>
      </c>
      <c r="C19" s="1" t="str">
        <f t="shared" si="0"/>
        <v>fred robertson</v>
      </c>
      <c r="D19" s="8" t="s">
        <v>262</v>
      </c>
      <c r="E19" s="17" t="s">
        <v>263</v>
      </c>
      <c r="F19" s="8" t="s">
        <v>220</v>
      </c>
      <c r="G19" s="12"/>
      <c r="H19" s="417">
        <f t="shared" si="11"/>
      </c>
      <c r="I19" s="417">
        <f t="shared" si="11"/>
      </c>
      <c r="J19" s="417">
        <f t="shared" si="11"/>
      </c>
      <c r="K19" s="417">
        <f t="shared" si="11"/>
      </c>
      <c r="L19" s="417">
        <f t="shared" si="11"/>
      </c>
      <c r="M19" s="417">
        <f t="shared" si="11"/>
      </c>
      <c r="N19" s="417">
        <f t="shared" si="11"/>
      </c>
      <c r="O19" s="417">
        <f t="shared" si="11"/>
      </c>
      <c r="P19" s="417">
        <f t="shared" si="11"/>
      </c>
      <c r="Q19" s="417">
        <f t="shared" si="11"/>
      </c>
      <c r="R19" s="478">
        <f t="shared" si="11"/>
      </c>
      <c r="S19" s="115">
        <f t="shared" si="2"/>
        <v>0</v>
      </c>
      <c r="T19" s="333">
        <f t="shared" si="3"/>
        <v>0</v>
      </c>
      <c r="U19" s="186">
        <f t="shared" si="4"/>
      </c>
      <c r="V19" s="367"/>
      <c r="W19" s="117"/>
      <c r="X19" s="335" t="str">
        <f t="shared" si="6"/>
        <v>n/a</v>
      </c>
      <c r="Y19" s="335" t="str">
        <f t="shared" si="7"/>
        <v>n/a</v>
      </c>
      <c r="Z19" s="335">
        <f>IF($Y19="n/a","",_xlfn.IFERROR(COUNTIF($Y$2:$Y19,"="&amp;Y19),""))</f>
      </c>
      <c r="AA19" s="335">
        <f>COUNTIF($X$2:X18,"&lt;"&amp;X19)</f>
        <v>0</v>
      </c>
      <c r="AB19" s="355">
        <f t="shared" si="8"/>
        <v>0</v>
      </c>
      <c r="AC19" s="69">
        <f t="shared" si="9"/>
        <v>0</v>
      </c>
    </row>
    <row r="20" spans="1:29" ht="13.5" thickBot="1">
      <c r="A20" s="525">
        <v>47</v>
      </c>
      <c r="B20" s="510" t="s">
        <v>286</v>
      </c>
      <c r="C20" s="510" t="str">
        <f t="shared" si="0"/>
        <v>peter whitaker</v>
      </c>
      <c r="D20" s="524" t="s">
        <v>26</v>
      </c>
      <c r="E20" s="527" t="s">
        <v>287</v>
      </c>
      <c r="F20" s="524" t="s">
        <v>222</v>
      </c>
      <c r="G20" s="301"/>
      <c r="H20" s="518">
        <f t="shared" si="11"/>
      </c>
      <c r="I20" s="518">
        <f t="shared" si="11"/>
      </c>
      <c r="J20" s="518">
        <f t="shared" si="11"/>
      </c>
      <c r="K20" s="518">
        <f t="shared" si="11"/>
      </c>
      <c r="L20" s="518">
        <f t="shared" si="11"/>
      </c>
      <c r="M20" s="518">
        <f t="shared" si="11"/>
      </c>
      <c r="N20" s="518">
        <f t="shared" si="11"/>
      </c>
      <c r="O20" s="518">
        <f t="shared" si="11"/>
      </c>
      <c r="P20" s="518">
        <f t="shared" si="11"/>
      </c>
      <c r="Q20" s="518">
        <f t="shared" si="11"/>
      </c>
      <c r="R20" s="519">
        <f t="shared" si="11"/>
      </c>
      <c r="S20" s="115">
        <f t="shared" si="2"/>
        <v>0</v>
      </c>
      <c r="T20" s="340">
        <f t="shared" si="3"/>
        <v>0</v>
      </c>
      <c r="U20" s="240">
        <f t="shared" si="4"/>
      </c>
      <c r="V20" s="509"/>
      <c r="W20" s="302"/>
      <c r="X20" s="383" t="str">
        <f t="shared" si="6"/>
        <v>n/a</v>
      </c>
      <c r="Y20" s="383" t="str">
        <f t="shared" si="7"/>
        <v>n/a</v>
      </c>
      <c r="Z20" s="383">
        <f>IF($Y20="n/a","",_xlfn.IFERROR(COUNTIF($Y$2:$Y20,"="&amp;Y20),""))</f>
      </c>
      <c r="AA20" s="383">
        <f>COUNTIF($X$2:X19,"&lt;"&amp;X20)</f>
        <v>0</v>
      </c>
      <c r="AB20" s="415">
        <f t="shared" si="8"/>
        <v>0</v>
      </c>
      <c r="AC20" s="384">
        <f t="shared" si="9"/>
        <v>0</v>
      </c>
    </row>
    <row r="21" spans="6:29" ht="13.5" thickBot="1">
      <c r="F21" s="298"/>
      <c r="G21" s="303" t="s">
        <v>29</v>
      </c>
      <c r="H21" s="304">
        <f aca="true" t="shared" si="12" ref="H21:S21">COUNT(H2:H20)</f>
        <v>1</v>
      </c>
      <c r="I21" s="304">
        <f t="shared" si="12"/>
        <v>1</v>
      </c>
      <c r="J21" s="304">
        <f t="shared" si="12"/>
        <v>0</v>
      </c>
      <c r="K21" s="304">
        <f t="shared" si="12"/>
        <v>1</v>
      </c>
      <c r="L21" s="304">
        <f t="shared" si="12"/>
        <v>0</v>
      </c>
      <c r="M21" s="304">
        <f t="shared" si="12"/>
        <v>2</v>
      </c>
      <c r="N21" s="304">
        <f t="shared" si="12"/>
        <v>1</v>
      </c>
      <c r="O21" s="304">
        <f t="shared" si="12"/>
        <v>0</v>
      </c>
      <c r="P21" s="304">
        <f t="shared" si="12"/>
        <v>2</v>
      </c>
      <c r="Q21" s="304">
        <f t="shared" si="12"/>
        <v>3</v>
      </c>
      <c r="R21" s="304">
        <f t="shared" si="12"/>
        <v>0</v>
      </c>
      <c r="S21" s="207">
        <f t="shared" si="12"/>
        <v>19</v>
      </c>
      <c r="T21" s="379"/>
      <c r="U21" s="379"/>
      <c r="V21" s="352"/>
      <c r="W21" s="379"/>
      <c r="X21" s="379"/>
      <c r="Y21" s="379"/>
      <c r="Z21" s="379"/>
      <c r="AA21" s="379"/>
      <c r="AB21" s="379"/>
      <c r="AC21" s="379"/>
    </row>
    <row r="22" spans="20:29" ht="12.75">
      <c r="T22" s="8"/>
      <c r="U22" s="8"/>
      <c r="V22" s="352"/>
      <c r="W22" s="8"/>
      <c r="X22" s="8"/>
      <c r="Y22" s="8"/>
      <c r="Z22" s="8"/>
      <c r="AA22" s="8"/>
      <c r="AB22" s="8"/>
      <c r="AC22" s="8"/>
    </row>
    <row r="23" spans="2:28" ht="12.75">
      <c r="B23" s="2"/>
      <c r="C23" s="2"/>
      <c r="D23" s="126"/>
      <c r="T23" s="126"/>
      <c r="X23" s="126"/>
      <c r="Y23" s="126"/>
      <c r="Z23" s="126"/>
      <c r="AA23" s="126"/>
      <c r="AB23" s="126"/>
    </row>
  </sheetData>
  <sheetProtection/>
  <mergeCells count="1">
    <mergeCell ref="AE1:AG1"/>
  </mergeCells>
  <conditionalFormatting sqref="B2">
    <cfRule type="expression" priority="12" dxfId="12" stopIfTrue="1">
      <formula>"IF(D2=""OPN"",0,1)"</formula>
    </cfRule>
    <cfRule type="expression" priority="13" dxfId="11" stopIfTrue="1">
      <formula>"if(d2=""OPN"")"</formula>
    </cfRule>
  </conditionalFormatting>
  <conditionalFormatting sqref="D2:D20">
    <cfRule type="containsText" priority="1" dxfId="10" operator="containsText" stopIfTrue="1" text="OPN">
      <formula>NOT(ISERROR(SEARCH("OPN",D2)))</formula>
    </cfRule>
    <cfRule type="containsText" priority="2" dxfId="9" operator="containsText" stopIfTrue="1" text="RES">
      <formula>NOT(ISERROR(SEARCH("RES",D2)))</formula>
    </cfRule>
    <cfRule type="containsText" priority="3" dxfId="8" operator="containsText" stopIfTrue="1" text="SMOD">
      <formula>NOT(ISERROR(SEARCH("SMOD",D2)))</formula>
    </cfRule>
    <cfRule type="containsText" priority="4" dxfId="7" operator="containsText" stopIfTrue="1" text="CDMOD">
      <formula>NOT(ISERROR(SEARCH("CDMOD",D2)))</formula>
    </cfRule>
    <cfRule type="containsText" priority="5" dxfId="6" operator="containsText" stopIfTrue="1" text="ABMOD">
      <formula>NOT(ISERROR(SEARCH("ABMOD",D2)))</formula>
    </cfRule>
    <cfRule type="containsText" priority="6" dxfId="5" operator="containsText" stopIfTrue="1" text="SND">
      <formula>NOT(ISERROR(SEARCH("SND",D2)))</formula>
    </cfRule>
    <cfRule type="containsText" priority="7" dxfId="4" operator="containsText" stopIfTrue="1" text="SNC">
      <formula>NOT(ISERROR(SEARCH("SNC",D2)))</formula>
    </cfRule>
    <cfRule type="containsText" priority="8" dxfId="3" operator="containsText" stopIfTrue="1" text="NBC">
      <formula>NOT(ISERROR(SEARCH("NBC",D2)))</formula>
    </cfRule>
    <cfRule type="containsText" priority="9" dxfId="2" operator="containsText" stopIfTrue="1" text="NAC">
      <formula>NOT(ISERROR(SEARCH("NAC",D2)))</formula>
    </cfRule>
    <cfRule type="containsText" priority="10" dxfId="1" operator="containsText" stopIfTrue="1" text="SNB">
      <formula>NOT(ISERROR(SEARCH("SNB",D2)))</formula>
    </cfRule>
    <cfRule type="containsText" priority="11" dxfId="0" operator="containsText" stopIfTrue="1" text="SNA">
      <formula>NOT(ISERROR(SEARCH("SNA",D2)))</formula>
    </cfRule>
  </conditionalFormatting>
  <printOptions/>
  <pageMargins left="0.7" right="0.7" top="0.75" bottom="0.75" header="0.3" footer="0.3"/>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M40"/>
  <sheetViews>
    <sheetView zoomScalePageLayoutView="0" workbookViewId="0" topLeftCell="A1">
      <selection activeCell="B1" sqref="B1"/>
    </sheetView>
  </sheetViews>
  <sheetFormatPr defaultColWidth="9.140625" defaultRowHeight="12.75"/>
  <cols>
    <col min="1" max="1" width="8.140625" style="32" customWidth="1"/>
    <col min="2" max="2" width="37.7109375" style="31" customWidth="1"/>
    <col min="3" max="3" width="8.8515625" style="32" customWidth="1"/>
    <col min="4" max="16384" width="8.8515625" style="32" customWidth="1"/>
  </cols>
  <sheetData>
    <row r="1" ht="12.75">
      <c r="A1" s="30" t="s">
        <v>12</v>
      </c>
    </row>
    <row r="2" spans="1:2" ht="14.25">
      <c r="A2" s="33" t="s">
        <v>15</v>
      </c>
      <c r="B2" s="134" t="s">
        <v>40</v>
      </c>
    </row>
    <row r="3" spans="1:2" ht="14.25">
      <c r="A3" s="33" t="s">
        <v>15</v>
      </c>
      <c r="B3" s="134" t="s">
        <v>41</v>
      </c>
    </row>
    <row r="4" spans="1:13" ht="25.5" customHeight="1">
      <c r="A4" s="33" t="s">
        <v>15</v>
      </c>
      <c r="B4" s="540" t="s">
        <v>249</v>
      </c>
      <c r="C4" s="540"/>
      <c r="D4" s="540"/>
      <c r="E4" s="540"/>
      <c r="F4" s="540"/>
      <c r="G4" s="540"/>
      <c r="H4" s="540"/>
      <c r="I4" s="540"/>
      <c r="J4" s="540"/>
      <c r="K4" s="540"/>
      <c r="L4" s="540"/>
      <c r="M4" s="540"/>
    </row>
    <row r="6" ht="13.5" thickBot="1">
      <c r="A6" s="30" t="s">
        <v>244</v>
      </c>
    </row>
    <row r="7" spans="1:5" ht="13.5" thickBot="1">
      <c r="A7" s="389" t="s">
        <v>2</v>
      </c>
      <c r="B7" s="386" t="s">
        <v>237</v>
      </c>
      <c r="C7" s="390" t="s">
        <v>236</v>
      </c>
      <c r="D7" s="388" t="s">
        <v>238</v>
      </c>
      <c r="E7" s="387"/>
    </row>
    <row r="8" spans="1:5" ht="12.75">
      <c r="A8" s="393" t="s">
        <v>3</v>
      </c>
      <c r="B8" s="392" t="s">
        <v>245</v>
      </c>
      <c r="C8" s="391">
        <v>1</v>
      </c>
      <c r="D8" s="394">
        <v>1</v>
      </c>
      <c r="E8" s="541" t="s">
        <v>235</v>
      </c>
    </row>
    <row r="9" spans="1:5" ht="13.5" thickBot="1">
      <c r="A9" s="397" t="s">
        <v>5</v>
      </c>
      <c r="B9" s="396" t="s">
        <v>246</v>
      </c>
      <c r="C9" s="395">
        <v>2</v>
      </c>
      <c r="D9" s="398">
        <v>1</v>
      </c>
      <c r="E9" s="542"/>
    </row>
    <row r="10" spans="1:5" ht="12.75">
      <c r="A10" s="393" t="s">
        <v>22</v>
      </c>
      <c r="B10" s="392" t="s">
        <v>247</v>
      </c>
      <c r="C10" s="391">
        <v>3</v>
      </c>
      <c r="D10" s="394">
        <v>2</v>
      </c>
      <c r="E10" s="541" t="s">
        <v>235</v>
      </c>
    </row>
    <row r="11" spans="1:5" ht="13.5" thickBot="1">
      <c r="A11" s="397" t="s">
        <v>21</v>
      </c>
      <c r="B11" s="396" t="s">
        <v>19</v>
      </c>
      <c r="C11" s="395">
        <v>4</v>
      </c>
      <c r="D11" s="398">
        <v>2</v>
      </c>
      <c r="E11" s="542"/>
    </row>
    <row r="12" spans="1:5" ht="12.75">
      <c r="A12" s="393" t="s">
        <v>4</v>
      </c>
      <c r="B12" s="399" t="s">
        <v>9</v>
      </c>
      <c r="C12" s="391">
        <v>5</v>
      </c>
      <c r="D12" s="394">
        <v>3</v>
      </c>
      <c r="E12" s="541" t="s">
        <v>235</v>
      </c>
    </row>
    <row r="13" spans="1:5" ht="13.5" thickBot="1">
      <c r="A13" s="397" t="s">
        <v>55</v>
      </c>
      <c r="B13" s="400" t="s">
        <v>20</v>
      </c>
      <c r="C13" s="395">
        <v>6</v>
      </c>
      <c r="D13" s="398">
        <v>3</v>
      </c>
      <c r="E13" s="542"/>
    </row>
    <row r="14" spans="1:5" ht="12.75" customHeight="1">
      <c r="A14" s="393" t="s">
        <v>56</v>
      </c>
      <c r="B14" s="399" t="s">
        <v>53</v>
      </c>
      <c r="C14" s="391">
        <v>7</v>
      </c>
      <c r="D14" s="394">
        <v>4</v>
      </c>
      <c r="E14" s="541" t="s">
        <v>235</v>
      </c>
    </row>
    <row r="15" spans="1:5" ht="12.75" customHeight="1" thickBot="1">
      <c r="A15" s="397" t="s">
        <v>57</v>
      </c>
      <c r="B15" s="400" t="s">
        <v>54</v>
      </c>
      <c r="C15" s="395">
        <v>8</v>
      </c>
      <c r="D15" s="398">
        <v>4</v>
      </c>
      <c r="E15" s="542"/>
    </row>
    <row r="16" spans="1:5" ht="13.5" thickBot="1">
      <c r="A16" s="403" t="s">
        <v>16</v>
      </c>
      <c r="B16" s="402" t="s">
        <v>17</v>
      </c>
      <c r="C16" s="401">
        <v>9</v>
      </c>
      <c r="D16" s="404">
        <v>5</v>
      </c>
      <c r="E16" s="405"/>
    </row>
    <row r="17" spans="1:5" ht="13.5" thickBot="1">
      <c r="A17" s="397" t="s">
        <v>13</v>
      </c>
      <c r="B17" s="406" t="s">
        <v>11</v>
      </c>
      <c r="C17" s="395">
        <v>10</v>
      </c>
      <c r="D17" s="398">
        <v>6</v>
      </c>
      <c r="E17" s="407"/>
    </row>
    <row r="18" spans="1:5" ht="13.5" thickBot="1">
      <c r="A18" s="403" t="s">
        <v>14</v>
      </c>
      <c r="B18" s="402" t="s">
        <v>10</v>
      </c>
      <c r="C18" s="401">
        <v>11</v>
      </c>
      <c r="D18" s="404">
        <v>7</v>
      </c>
      <c r="E18" s="405"/>
    </row>
    <row r="19" spans="1:2" ht="12.75">
      <c r="A19" s="34"/>
      <c r="B19" s="32"/>
    </row>
    <row r="20" spans="1:2" ht="12.75">
      <c r="A20" s="385" t="s">
        <v>248</v>
      </c>
      <c r="B20" s="32"/>
    </row>
    <row r="21" spans="1:2" ht="12.75">
      <c r="A21" s="413" t="s">
        <v>0</v>
      </c>
      <c r="B21" s="293" t="s">
        <v>241</v>
      </c>
    </row>
    <row r="22" spans="1:2" ht="12.75">
      <c r="A22" s="338">
        <v>1</v>
      </c>
      <c r="B22" s="337">
        <v>100</v>
      </c>
    </row>
    <row r="23" spans="1:2" ht="12.75">
      <c r="A23" s="338">
        <v>2</v>
      </c>
      <c r="B23" s="337">
        <v>75</v>
      </c>
    </row>
    <row r="24" spans="1:2" ht="12.75">
      <c r="A24" s="338">
        <v>3</v>
      </c>
      <c r="B24" s="337">
        <v>60</v>
      </c>
    </row>
    <row r="25" spans="1:2" ht="12.75">
      <c r="A25" s="338">
        <v>4</v>
      </c>
      <c r="B25" s="337">
        <v>45</v>
      </c>
    </row>
    <row r="26" spans="1:2" ht="12.75">
      <c r="A26" s="338">
        <v>5</v>
      </c>
      <c r="B26" s="339">
        <v>30</v>
      </c>
    </row>
    <row r="27" spans="1:2" ht="12.75">
      <c r="A27" s="338">
        <v>6</v>
      </c>
      <c r="B27" s="339">
        <v>15</v>
      </c>
    </row>
    <row r="28" spans="1:2" ht="12.75">
      <c r="A28" s="338">
        <v>7</v>
      </c>
      <c r="B28" s="339">
        <v>15</v>
      </c>
    </row>
    <row r="29" spans="1:2" ht="12.75">
      <c r="A29" s="338">
        <v>8</v>
      </c>
      <c r="B29" s="339">
        <v>15</v>
      </c>
    </row>
    <row r="30" spans="1:2" ht="12.75">
      <c r="A30" s="338">
        <v>9</v>
      </c>
      <c r="B30" s="337">
        <v>15</v>
      </c>
    </row>
    <row r="31" spans="1:2" ht="12.75">
      <c r="A31" s="338">
        <v>10</v>
      </c>
      <c r="B31" s="337">
        <v>15</v>
      </c>
    </row>
    <row r="32" spans="1:2" ht="12.75">
      <c r="A32" s="336"/>
      <c r="B32" s="337"/>
    </row>
    <row r="34" spans="1:2" ht="15" thickBot="1">
      <c r="A34" s="138" t="s">
        <v>42</v>
      </c>
      <c r="B34" s="136"/>
    </row>
    <row r="35" spans="1:2" ht="15" thickBot="1">
      <c r="A35" s="410" t="s">
        <v>48</v>
      </c>
      <c r="B35" s="408" t="s">
        <v>43</v>
      </c>
    </row>
    <row r="36" spans="1:2" ht="15" thickBot="1">
      <c r="A36" s="411" t="s">
        <v>49</v>
      </c>
      <c r="B36" s="409" t="s">
        <v>44</v>
      </c>
    </row>
    <row r="37" spans="1:2" ht="15" thickBot="1">
      <c r="A37" s="411" t="s">
        <v>50</v>
      </c>
      <c r="B37" s="409" t="s">
        <v>45</v>
      </c>
    </row>
    <row r="38" spans="1:2" ht="15" thickBot="1">
      <c r="A38" s="411" t="s">
        <v>51</v>
      </c>
      <c r="B38" s="409" t="s">
        <v>46</v>
      </c>
    </row>
    <row r="39" spans="1:2" ht="15" thickBot="1">
      <c r="A39" s="412" t="s">
        <v>52</v>
      </c>
      <c r="B39" s="409" t="s">
        <v>47</v>
      </c>
    </row>
    <row r="40" spans="1:2" ht="12.75">
      <c r="A40" s="137"/>
      <c r="B40" s="135"/>
    </row>
  </sheetData>
  <sheetProtection/>
  <mergeCells count="5">
    <mergeCell ref="B4:M4"/>
    <mergeCell ref="E8:E9"/>
    <mergeCell ref="E10:E11"/>
    <mergeCell ref="E12:E13"/>
    <mergeCell ref="E14:E1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Phil Munnings</dc:creator>
  <cp:keywords/>
  <dc:description/>
  <cp:lastModifiedBy>Russell Garner</cp:lastModifiedBy>
  <cp:lastPrinted>2009-03-11T10:33:29Z</cp:lastPrinted>
  <dcterms:created xsi:type="dcterms:W3CDTF">2008-07-07T11:31:18Z</dcterms:created>
  <dcterms:modified xsi:type="dcterms:W3CDTF">2017-07-19T01:39:39Z</dcterms:modified>
  <cp:category/>
  <cp:version/>
  <cp:contentType/>
  <cp:contentStatus/>
</cp:coreProperties>
</file>