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7" activeTab="0"/>
  </bookViews>
  <sheets>
    <sheet name="Championship Points" sheetId="1" r:id="rId1"/>
    <sheet name="Rd1 PI" sheetId="2" r:id="rId2"/>
    <sheet name="Rd2 Winton" sheetId="3" r:id="rId3"/>
    <sheet name="Championship Scoring" sheetId="4" r:id="rId4"/>
  </sheets>
  <externalReferences>
    <externalReference r:id="rId7"/>
  </externalReferences>
  <definedNames>
    <definedName name="_xlfn.IFERROR" hidden="1">#NAME?</definedName>
    <definedName name="Benchmarks" localSheetId="1">'Rd1 PI'!$AE$1:$AG$21</definedName>
    <definedName name="Benchmarks">'Rd2 Winton'!$AE$2:$AG$12</definedName>
    <definedName name="BenchmarksRd1" localSheetId="2">'[1]Rd1 Broadford'!$AE$2:$AG$12</definedName>
    <definedName name="BenchmarksRd1">#REF!</definedName>
    <definedName name="BenchmarksRd2">'Rd2 Winton'!$AE$2:$AG$12</definedName>
    <definedName name="BenchmarksRd3" localSheetId="2">'Rd2 Winton'!$AE$2:$AG$12</definedName>
    <definedName name="BenchmarksRd3">#REF!</definedName>
    <definedName name="BenchmarksRd4" localSheetId="1">'Rd1 PI'!$AE$2:$AG$21</definedName>
    <definedName name="BenchmarksRd4" localSheetId="2">'[1]Rd4 Sandown'!$AE$2:$AG$12</definedName>
    <definedName name="BenchmarksRd4">#REF!</definedName>
    <definedName name="BenchmarksRd5" localSheetId="1">'Rd1 PI'!$AE$2:$AG$21</definedName>
    <definedName name="BenchmarksRd5" localSheetId="2">'[1]Rd5 Sandown'!$AE$2:$AG$12</definedName>
    <definedName name="BenchmarksRd5">#REF!</definedName>
    <definedName name="BenchmarksRd6" localSheetId="1">'Rd1 PI'!$AE$2:$AG$12</definedName>
    <definedName name="BenchmarksRd6" localSheetId="2">'[1]Rd6 PI'!$AE$2:$AG$12</definedName>
    <definedName name="BenchmarksRd6">#REF!</definedName>
    <definedName name="BenchmarksRd9" localSheetId="2">'[1]Rd9 SMSP'!$AE$2:$AG$12</definedName>
    <definedName name="BenchmarksRd9">#REF!</definedName>
    <definedName name="Class" localSheetId="2">'[1]Championship Scoring'!$A$7:$D$18</definedName>
    <definedName name="Class">'Championship Scoring'!$A$7:$D$18</definedName>
    <definedName name="Points" localSheetId="2">'[1]Championship Scoring'!$A$21:$B$31</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<sst xmlns="http://schemas.openxmlformats.org/spreadsheetml/2006/main" count="499" uniqueCount="201">
  <si>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</si>
  <si>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</si>
  <si>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</si>
  <si>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</si>
  <si>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</si>
  <si>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</si>
  <si>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</si>
  <si>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</si>
  <si>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</si>
  <si>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</si>
  <si>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</si>
  <si>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</si>
  <si>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</si>
  <si>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</si>
  <si>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</si>
  <si>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</si>
  <si>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</si>
  <si>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</si>
  <si>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</si>
  <si>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</si>
  <si>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</si>
  <si>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</si>
  <si>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</si>
  <si>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</si>
  <si>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</si>
  <si>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</si>
  <si>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</si>
  <si>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</si>
  <si>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S25</t>
  </si>
  <si>
    <t>Tim</t>
  </si>
  <si>
    <t>MEADEN</t>
  </si>
  <si>
    <t>Noel</t>
  </si>
  <si>
    <t>HERITAGE</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</si>
  <si>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</si>
  <si>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</si>
  <si>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</si>
  <si>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</si>
  <si>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</si>
  <si>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</si>
  <si>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</si>
  <si>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</si>
  <si>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</si>
  <si>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</si>
  <si>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</si>
  <si>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</si>
  <si>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</si>
  <si>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</si>
  <si>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</si>
  <si>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</si>
  <si>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</si>
  <si>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</si>
  <si>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</si>
  <si>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</si>
  <si>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</si>
  <si>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</si>
  <si>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S13</t>
  </si>
  <si>
    <t>S21</t>
  </si>
  <si>
    <t>Steve</t>
  </si>
  <si>
    <t>WILLIAMSZ</t>
  </si>
  <si>
    <t>PEDLEY</t>
  </si>
  <si>
    <t>Lap record</t>
  </si>
  <si>
    <t>secs off record</t>
  </si>
  <si>
    <t>Gareth</t>
  </si>
  <si>
    <t>Bmark Adjust</t>
  </si>
  <si>
    <t>Posn Pts</t>
  </si>
  <si>
    <t>Robert</t>
  </si>
  <si>
    <t>DOWNES</t>
  </si>
  <si>
    <t>S10</t>
  </si>
  <si>
    <t>S4</t>
  </si>
  <si>
    <t>S8</t>
  </si>
  <si>
    <t>Gavin</t>
  </si>
  <si>
    <t>NEWMAN</t>
  </si>
  <si>
    <t>Alan Conrad</t>
  </si>
  <si>
    <t>Tim Meaden</t>
  </si>
  <si>
    <t>Randy Stagno Navarra</t>
  </si>
  <si>
    <t>Noel Heritage</t>
  </si>
  <si>
    <t>Robert Downes</t>
  </si>
  <si>
    <t>Gareth Pedley</t>
  </si>
  <si>
    <t>Simeon Ouzas</t>
  </si>
  <si>
    <t>John Downes</t>
  </si>
  <si>
    <t>Steve Williamsz</t>
  </si>
  <si>
    <t>John</t>
  </si>
  <si>
    <t>Paul Ledwith</t>
  </si>
  <si>
    <t>Ray Monik</t>
  </si>
  <si>
    <t>S31</t>
  </si>
  <si>
    <t>S29</t>
  </si>
  <si>
    <t>S17</t>
  </si>
  <si>
    <t>S23</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</si>
  <si>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</si>
  <si>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</si>
  <si>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</si>
  <si>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</si>
  <si>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</si>
  <si>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</si>
  <si>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</si>
  <si>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</si>
  <si>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</si>
  <si>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</si>
  <si>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</si>
  <si>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</si>
  <si>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</si>
  <si>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</si>
  <si>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</si>
  <si>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</si>
  <si>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</si>
  <si>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</si>
  <si>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</si>
  <si>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</si>
  <si>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</si>
  <si>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</si>
  <si>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Ralph Thompson</t>
  </si>
  <si>
    <t>Max Lloyd</t>
  </si>
  <si>
    <t>Matthew Cavell</t>
  </si>
  <si>
    <t>Max</t>
  </si>
  <si>
    <t>LLOYD</t>
  </si>
  <si>
    <t>Travis McInnes</t>
  </si>
  <si>
    <t>Owen Boak</t>
  </si>
  <si>
    <t>S3</t>
  </si>
  <si>
    <t>MX5 Vic - MOTORSPORT CHAMPIONSHIP 2018</t>
  </si>
  <si>
    <t>1:52.8453</t>
  </si>
  <si>
    <t>1:54.3583</t>
  </si>
  <si>
    <t>1:54.9601</t>
  </si>
  <si>
    <t>1:58.8704</t>
  </si>
  <si>
    <t>John Vaughan</t>
  </si>
  <si>
    <t>1:59.0896</t>
  </si>
  <si>
    <t>1:59.4823</t>
  </si>
  <si>
    <t>2:00.2959</t>
  </si>
  <si>
    <t>2:00.6564</t>
  </si>
  <si>
    <t>2:01.7679</t>
  </si>
  <si>
    <t>2:02.0350</t>
  </si>
  <si>
    <t>2:03.8568</t>
  </si>
  <si>
    <t>2:04.7697</t>
  </si>
  <si>
    <t>2:05.1318</t>
  </si>
  <si>
    <t>David Adam</t>
  </si>
  <si>
    <t>2:05.4460</t>
  </si>
  <si>
    <t>S30</t>
  </si>
  <si>
    <t>2:05.5741</t>
  </si>
  <si>
    <t>2:08.4113</t>
  </si>
  <si>
    <t>2:12.0884</t>
  </si>
  <si>
    <t>Bartosz Dajnowski</t>
  </si>
  <si>
    <t>2:14.0231</t>
  </si>
  <si>
    <t>2:16.3143</t>
  </si>
  <si>
    <t>2:17.4758</t>
  </si>
  <si>
    <t>1. Phillip Island 20/1/18</t>
  </si>
  <si>
    <t>Russell</t>
  </si>
  <si>
    <t>GARNER</t>
  </si>
  <si>
    <t>VAUGHAN</t>
  </si>
  <si>
    <t>Matthew</t>
  </si>
  <si>
    <t>CAVELL</t>
  </si>
  <si>
    <t>2. Winton 4/3/18</t>
  </si>
  <si>
    <t>3. Winton 14/4/18 (I/C)</t>
  </si>
  <si>
    <t>4. Sandown 19/5/18</t>
  </si>
  <si>
    <t>5. Winton 9/6/18</t>
  </si>
  <si>
    <t>6. Phillip Island 30/6/18</t>
  </si>
  <si>
    <t>7. Winton 11/8/18</t>
  </si>
  <si>
    <t>8. Sandown 1/9/18</t>
  </si>
  <si>
    <t>10. Philliip Island 9/12/18</t>
  </si>
  <si>
    <t>9. Tasmania 3/11/18 &amp; 5/11/18</t>
  </si>
  <si>
    <t>1:55.6312</t>
  </si>
  <si>
    <t>1:57.6877</t>
  </si>
  <si>
    <t>2:00.5817</t>
  </si>
  <si>
    <t>2:02.8897</t>
  </si>
  <si>
    <t>Dave Moore</t>
  </si>
  <si>
    <t>1:36.5102</t>
  </si>
  <si>
    <t>New lap record</t>
  </si>
  <si>
    <t>S14</t>
  </si>
  <si>
    <t>S12</t>
  </si>
  <si>
    <t>1:43.1622</t>
  </si>
  <si>
    <t>S7</t>
  </si>
  <si>
    <t>Tim Emery</t>
  </si>
  <si>
    <t>1:44.6168</t>
  </si>
  <si>
    <t>S27</t>
  </si>
  <si>
    <t>1:45.3001</t>
  </si>
  <si>
    <t>John Reid</t>
  </si>
  <si>
    <t>Ian Vague</t>
  </si>
  <si>
    <t>S9</t>
  </si>
  <si>
    <t>S24</t>
  </si>
  <si>
    <t>Dean Watchorn</t>
  </si>
  <si>
    <t>S22</t>
  </si>
  <si>
    <t>Isaac Pittolo</t>
  </si>
  <si>
    <t>Kutay Dal</t>
  </si>
  <si>
    <t>Andrew Potter</t>
  </si>
  <si>
    <t>Lachlan Stephens</t>
  </si>
  <si>
    <t>Dean</t>
  </si>
  <si>
    <t>WATCHORN</t>
  </si>
  <si>
    <t>Paul</t>
  </si>
  <si>
    <t>LEDWITH</t>
  </si>
  <si>
    <t>Randy</t>
  </si>
  <si>
    <t>STAGNO NAVARRA</t>
  </si>
  <si>
    <t>Alan</t>
  </si>
  <si>
    <t>CONRAD</t>
  </si>
  <si>
    <t>David</t>
  </si>
  <si>
    <t>ADAM</t>
  </si>
  <si>
    <t>Ian</t>
  </si>
  <si>
    <t>VAGUE</t>
  </si>
  <si>
    <t>Kutay</t>
  </si>
  <si>
    <t>Dal</t>
  </si>
  <si>
    <t>Jarrah Pitt</t>
  </si>
  <si>
    <t>DAL</t>
  </si>
  <si>
    <t>Ray</t>
  </si>
  <si>
    <t>MONIK</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</si>
</sst>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1">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FF0000"/>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indexed="22"/>
        <bgColor indexed="64"/>
      </patternFill>
    </fill>
    <fill>
      <patternFill patternType="solid">
        <fgColor theme="3" tint="0.7999799847602844"/>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indexed="5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medium"/>
      <right style="medium"/>
      <top style="medium"/>
      <bottom style="medium"/>
    </border>
    <border>
      <left/>
      <right/>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3">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2" borderId="0" xfId="0" applyFill="1" applyBorder="1" applyAlignment="1">
      <alignment horizontal="center"/>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0" fillId="34" borderId="0" xfId="0" applyFill="1" applyBorder="1" applyAlignment="1">
      <alignment/>
    </xf>
    <xf numFmtId="0" fontId="0" fillId="34" borderId="0" xfId="0"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4" borderId="0" xfId="0" applyFont="1" applyFill="1" applyBorder="1" applyAlignment="1">
      <alignment horizontal="center"/>
    </xf>
    <xf numFmtId="0" fontId="0" fillId="34" borderId="0" xfId="0" applyFill="1" applyAlignment="1">
      <alignment horizontal="center"/>
    </xf>
    <xf numFmtId="0" fontId="6" fillId="34" borderId="0" xfId="0" applyFont="1" applyFill="1" applyBorder="1" applyAlignment="1">
      <alignment/>
    </xf>
    <xf numFmtId="49" fontId="0" fillId="34" borderId="0" xfId="0" applyNumberFormat="1" applyFill="1" applyBorder="1" applyAlignment="1">
      <alignment/>
    </xf>
    <xf numFmtId="0" fontId="5" fillId="34" borderId="0" xfId="0" applyFont="1" applyFill="1" applyBorder="1" applyAlignment="1" quotePrefix="1">
      <alignment horizontal="center"/>
    </xf>
    <xf numFmtId="0" fontId="0" fillId="34" borderId="0" xfId="0" applyFont="1" applyFill="1" applyBorder="1" applyAlignment="1">
      <alignment/>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0" fontId="5" fillId="35" borderId="0" xfId="0" applyFont="1" applyFill="1" applyBorder="1" applyAlignment="1" quotePrefix="1">
      <alignment horizontal="center"/>
    </xf>
    <xf numFmtId="0" fontId="0" fillId="35"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6" borderId="0" xfId="0"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xf>
    <xf numFmtId="49" fontId="0" fillId="36" borderId="0" xfId="0" applyNumberForma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5" fillId="36" borderId="0" xfId="0" applyFont="1" applyFill="1" applyBorder="1" applyAlignment="1">
      <alignment horizontal="center"/>
    </xf>
    <xf numFmtId="0" fontId="0" fillId="36"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0" fillId="32" borderId="0" xfId="0" applyFont="1" applyFill="1" applyBorder="1" applyAlignment="1">
      <alignment/>
    </xf>
    <xf numFmtId="0" fontId="0" fillId="33" borderId="14" xfId="0" applyFill="1" applyBorder="1" applyAlignment="1">
      <alignment horizontal="center"/>
    </xf>
    <xf numFmtId="0" fontId="0" fillId="0" borderId="15" xfId="0" applyFill="1"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4" xfId="0" applyFill="1" applyBorder="1" applyAlignment="1">
      <alignment horizontal="center"/>
    </xf>
    <xf numFmtId="0" fontId="0" fillId="11" borderId="15" xfId="0" applyFill="1" applyBorder="1" applyAlignment="1">
      <alignment horizontal="center"/>
    </xf>
    <xf numFmtId="0" fontId="0" fillId="33" borderId="0" xfId="0" applyFont="1" applyFill="1" applyBorder="1" applyAlignment="1">
      <alignment/>
    </xf>
    <xf numFmtId="0" fontId="0" fillId="11" borderId="0" xfId="0" applyFont="1" applyFill="1" applyBorder="1" applyAlignment="1">
      <alignment/>
    </xf>
    <xf numFmtId="0" fontId="0" fillId="35"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vertical="center"/>
    </xf>
    <xf numFmtId="0" fontId="5" fillId="37" borderId="0" xfId="0" applyFont="1" applyFill="1" applyBorder="1" applyAlignment="1" quotePrefix="1">
      <alignment horizontal="center"/>
    </xf>
    <xf numFmtId="0" fontId="0" fillId="37" borderId="0" xfId="0" applyFill="1" applyAlignment="1">
      <alignment horizontal="center"/>
    </xf>
    <xf numFmtId="0" fontId="5" fillId="37" borderId="11" xfId="0" applyNumberFormat="1" applyFont="1" applyFill="1" applyBorder="1" applyAlignment="1">
      <alignment horizontal="center"/>
    </xf>
    <xf numFmtId="0" fontId="0" fillId="37" borderId="0" xfId="0" applyFont="1" applyFill="1" applyBorder="1" applyAlignment="1">
      <alignment horizontal="center"/>
    </xf>
    <xf numFmtId="0" fontId="5" fillId="37" borderId="12" xfId="0" applyNumberFormat="1" applyFont="1" applyFill="1" applyBorder="1" applyAlignment="1">
      <alignment horizontal="center"/>
    </xf>
    <xf numFmtId="0" fontId="0" fillId="37" borderId="0" xfId="0" applyFont="1" applyFill="1" applyAlignment="1">
      <alignment/>
    </xf>
    <xf numFmtId="0" fontId="0" fillId="37" borderId="0" xfId="0" applyFill="1" applyAlignment="1">
      <alignment/>
    </xf>
    <xf numFmtId="0" fontId="5" fillId="37" borderId="13" xfId="0" applyNumberFormat="1" applyFont="1" applyFill="1" applyBorder="1" applyAlignment="1">
      <alignment horizontal="center"/>
    </xf>
    <xf numFmtId="0" fontId="0" fillId="38" borderId="0" xfId="0" applyFill="1" applyAlignment="1">
      <alignment/>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5" fillId="38" borderId="12" xfId="0" applyNumberFormat="1" applyFont="1" applyFill="1" applyBorder="1" applyAlignment="1">
      <alignment horizontal="center"/>
    </xf>
    <xf numFmtId="0" fontId="5" fillId="38" borderId="0" xfId="0" applyFont="1" applyFill="1" applyBorder="1" applyAlignment="1">
      <alignment horizontal="center"/>
    </xf>
    <xf numFmtId="0" fontId="0" fillId="38" borderId="0" xfId="0" applyFill="1" applyBorder="1" applyAlignment="1">
      <alignment/>
    </xf>
    <xf numFmtId="0" fontId="5" fillId="38"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8" borderId="0" xfId="0" applyNumberFormat="1" applyFill="1" applyBorder="1" applyAlignment="1">
      <alignment horizontal="center"/>
    </xf>
    <xf numFmtId="0" fontId="0" fillId="38"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8" borderId="0" xfId="0" applyFont="1" applyFill="1" applyBorder="1" applyAlignment="1">
      <alignment/>
    </xf>
    <xf numFmtId="179" fontId="0" fillId="38"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7" borderId="0" xfId="0" applyFont="1" applyFill="1" applyBorder="1" applyAlignment="1">
      <alignment/>
    </xf>
    <xf numFmtId="49" fontId="0" fillId="37" borderId="0" xfId="0" applyNumberFormat="1" applyFill="1" applyBorder="1" applyAlignment="1">
      <alignment horizontal="center"/>
    </xf>
    <xf numFmtId="0" fontId="5" fillId="39" borderId="11" xfId="0" applyFont="1" applyFill="1" applyBorder="1" applyAlignment="1" quotePrefix="1">
      <alignment horizontal="center"/>
    </xf>
    <xf numFmtId="0" fontId="5" fillId="39" borderId="12" xfId="0" applyFont="1" applyFill="1" applyBorder="1" applyAlignment="1" quotePrefix="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5"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0" xfId="0" applyFont="1" applyFill="1" applyBorder="1" applyAlignment="1">
      <alignment/>
    </xf>
    <xf numFmtId="0" fontId="5" fillId="40" borderId="0" xfId="0" applyFont="1" applyFill="1" applyBorder="1" applyAlignment="1">
      <alignment horizontal="center"/>
    </xf>
    <xf numFmtId="0" fontId="0" fillId="32" borderId="14" xfId="0" applyFont="1" applyFill="1" applyBorder="1" applyAlignment="1">
      <alignment horizontal="center"/>
    </xf>
    <xf numFmtId="180" fontId="0" fillId="0" borderId="10" xfId="0" applyNumberFormat="1" applyFont="1" applyFill="1" applyBorder="1" applyAlignment="1">
      <alignment horizontal="center"/>
    </xf>
    <xf numFmtId="0" fontId="0" fillId="38" borderId="0" xfId="0" applyFont="1" applyFill="1" applyBorder="1" applyAlignment="1">
      <alignment/>
    </xf>
    <xf numFmtId="0" fontId="0" fillId="35" borderId="14" xfId="0" applyFont="1" applyFill="1" applyBorder="1" applyAlignment="1">
      <alignment horizontal="center"/>
    </xf>
    <xf numFmtId="0" fontId="0" fillId="34" borderId="14" xfId="0" applyFont="1" applyFill="1" applyBorder="1" applyAlignment="1">
      <alignment horizontal="center"/>
    </xf>
    <xf numFmtId="0" fontId="0" fillId="11" borderId="14" xfId="0" applyFont="1" applyFill="1" applyBorder="1" applyAlignment="1">
      <alignment horizontal="center"/>
    </xf>
    <xf numFmtId="0" fontId="0" fillId="38" borderId="14" xfId="0" applyFont="1" applyFill="1" applyBorder="1" applyAlignment="1">
      <alignment horizontal="center"/>
    </xf>
    <xf numFmtId="0" fontId="0" fillId="33" borderId="16" xfId="0" applyFill="1" applyBorder="1" applyAlignment="1">
      <alignment horizontal="center"/>
    </xf>
    <xf numFmtId="0" fontId="0" fillId="37" borderId="16" xfId="0" applyFill="1" applyBorder="1" applyAlignment="1">
      <alignment horizontal="center"/>
    </xf>
    <xf numFmtId="0" fontId="0" fillId="37" borderId="17" xfId="0" applyFill="1" applyBorder="1" applyAlignment="1">
      <alignment/>
    </xf>
    <xf numFmtId="0" fontId="0" fillId="37" borderId="18" xfId="0" applyFill="1" applyBorder="1" applyAlignment="1">
      <alignment horizontal="center"/>
    </xf>
    <xf numFmtId="0" fontId="5" fillId="33" borderId="0"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horizontal="center"/>
    </xf>
    <xf numFmtId="0" fontId="8" fillId="0" borderId="0" xfId="0" applyFont="1" applyFill="1" applyBorder="1" applyAlignment="1">
      <alignment horizontal="center" vertical="center"/>
    </xf>
    <xf numFmtId="0" fontId="0" fillId="0" borderId="19" xfId="0" applyFill="1" applyBorder="1" applyAlignment="1">
      <alignment horizontal="center"/>
    </xf>
    <xf numFmtId="0" fontId="8" fillId="0" borderId="20" xfId="0" applyFont="1" applyFill="1" applyBorder="1" applyAlignment="1">
      <alignment horizontal="center" vertical="center"/>
    </xf>
    <xf numFmtId="1" fontId="8" fillId="0" borderId="10" xfId="0" applyNumberFormat="1" applyFont="1" applyBorder="1" applyAlignment="1">
      <alignment horizontal="center"/>
    </xf>
    <xf numFmtId="0" fontId="5" fillId="41" borderId="16" xfId="0" applyFont="1" applyFill="1" applyBorder="1" applyAlignment="1">
      <alignment horizontal="center" vertical="center" wrapText="1"/>
    </xf>
    <xf numFmtId="0" fontId="5" fillId="41" borderId="17" xfId="0" applyFont="1" applyFill="1" applyBorder="1" applyAlignment="1">
      <alignment horizontal="left" vertical="center"/>
    </xf>
    <xf numFmtId="0" fontId="5" fillId="41" borderId="17" xfId="0" applyFont="1" applyFill="1" applyBorder="1" applyAlignment="1">
      <alignment horizontal="center" vertical="center"/>
    </xf>
    <xf numFmtId="179" fontId="5" fillId="41" borderId="17" xfId="0" applyNumberFormat="1" applyFont="1" applyFill="1" applyBorder="1" applyAlignment="1">
      <alignment horizontal="center" vertical="center" wrapText="1"/>
    </xf>
    <xf numFmtId="0" fontId="5" fillId="41" borderId="17"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11" borderId="17" xfId="0" applyFont="1" applyFill="1" applyBorder="1" applyAlignment="1">
      <alignment horizontal="center" vertical="center"/>
    </xf>
    <xf numFmtId="0" fontId="5" fillId="37"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42" borderId="17" xfId="0" applyFont="1" applyFill="1" applyBorder="1" applyAlignment="1">
      <alignment horizontal="center" vertical="center"/>
    </xf>
    <xf numFmtId="0" fontId="5" fillId="32" borderId="17" xfId="0" applyFont="1" applyFill="1" applyBorder="1" applyAlignment="1">
      <alignment horizontal="center" vertical="center"/>
    </xf>
    <xf numFmtId="0" fontId="5" fillId="43" borderId="17" xfId="0" applyFont="1" applyFill="1" applyBorder="1" applyAlignment="1">
      <alignment horizontal="center" vertical="center"/>
    </xf>
    <xf numFmtId="0" fontId="5" fillId="38" borderId="17" xfId="0" applyFont="1" applyFill="1" applyBorder="1" applyAlignment="1">
      <alignment horizontal="center" vertical="center"/>
    </xf>
    <xf numFmtId="0" fontId="5" fillId="13" borderId="17" xfId="0" applyFont="1" applyFill="1" applyBorder="1" applyAlignment="1">
      <alignment horizontal="center" vertical="center"/>
    </xf>
    <xf numFmtId="0" fontId="5" fillId="34" borderId="17" xfId="0" applyFont="1" applyFill="1" applyBorder="1" applyAlignment="1">
      <alignment horizontal="center" vertical="center"/>
    </xf>
    <xf numFmtId="0" fontId="5" fillId="36" borderId="18" xfId="0" applyFont="1" applyFill="1" applyBorder="1" applyAlignment="1">
      <alignment horizontal="center" vertical="center"/>
    </xf>
    <xf numFmtId="0" fontId="0" fillId="0" borderId="14" xfId="0" applyFill="1" applyBorder="1" applyAlignment="1">
      <alignment horizontal="center"/>
    </xf>
    <xf numFmtId="0" fontId="0" fillId="44" borderId="0" xfId="0" applyFill="1" applyBorder="1" applyAlignment="1">
      <alignment horizontal="center"/>
    </xf>
    <xf numFmtId="0" fontId="0" fillId="45" borderId="21" xfId="0" applyFill="1" applyBorder="1" applyAlignment="1">
      <alignment/>
    </xf>
    <xf numFmtId="0" fontId="0" fillId="45" borderId="21" xfId="0" applyFill="1" applyBorder="1" applyAlignment="1">
      <alignment horizontal="left" vertical="top"/>
    </xf>
    <xf numFmtId="0" fontId="0" fillId="45" borderId="21" xfId="0" applyFill="1" applyBorder="1" applyAlignment="1">
      <alignment horizontal="center"/>
    </xf>
    <xf numFmtId="0" fontId="0" fillId="45" borderId="21" xfId="0" applyFill="1" applyBorder="1" applyAlignment="1">
      <alignment horizontal="left" vertical="top" wrapText="1"/>
    </xf>
    <xf numFmtId="0" fontId="0" fillId="0" borderId="20" xfId="0" applyFill="1" applyBorder="1" applyAlignment="1">
      <alignment horizontal="center"/>
    </xf>
    <xf numFmtId="0" fontId="5" fillId="42" borderId="17" xfId="0" applyFont="1" applyFill="1" applyBorder="1" applyAlignment="1">
      <alignment horizontal="center" vertical="center" wrapText="1"/>
    </xf>
    <xf numFmtId="0" fontId="5" fillId="42" borderId="18" xfId="0" applyFont="1" applyFill="1" applyBorder="1" applyAlignment="1">
      <alignment horizontal="center" vertical="center" wrapText="1"/>
    </xf>
    <xf numFmtId="2" fontId="0" fillId="0" borderId="0" xfId="0" applyNumberFormat="1" applyBorder="1" applyAlignment="1">
      <alignment horizontal="center"/>
    </xf>
    <xf numFmtId="2" fontId="5" fillId="42" borderId="17" xfId="0" applyNumberFormat="1" applyFont="1" applyFill="1" applyBorder="1" applyAlignment="1">
      <alignment horizontal="center" vertical="center" wrapText="1"/>
    </xf>
    <xf numFmtId="0" fontId="0" fillId="44" borderId="15" xfId="0" applyFill="1" applyBorder="1" applyAlignment="1">
      <alignment horizontal="center"/>
    </xf>
    <xf numFmtId="2" fontId="0" fillId="11" borderId="0" xfId="0" applyNumberFormat="1" applyFill="1" applyBorder="1" applyAlignment="1">
      <alignment horizontal="center"/>
    </xf>
    <xf numFmtId="2" fontId="0" fillId="32" borderId="0" xfId="0" applyNumberFormat="1" applyFill="1" applyBorder="1" applyAlignment="1">
      <alignment horizontal="center"/>
    </xf>
    <xf numFmtId="2" fontId="0" fillId="0" borderId="0" xfId="0" applyNumberFormat="1" applyFill="1" applyBorder="1" applyAlignment="1">
      <alignment horizontal="center"/>
    </xf>
    <xf numFmtId="2" fontId="0" fillId="34" borderId="0" xfId="0" applyNumberForma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180" fontId="0" fillId="32" borderId="0" xfId="0" applyNumberFormat="1" applyFont="1" applyFill="1" applyBorder="1" applyAlignment="1">
      <alignment horizontal="center"/>
    </xf>
    <xf numFmtId="180" fontId="0" fillId="34" borderId="0" xfId="0" applyNumberFormat="1" applyFont="1" applyFill="1" applyBorder="1" applyAlignment="1">
      <alignment horizontal="center"/>
    </xf>
    <xf numFmtId="1" fontId="8" fillId="0" borderId="0" xfId="0" applyNumberFormat="1" applyFont="1" applyBorder="1" applyAlignment="1">
      <alignment horizontal="center"/>
    </xf>
    <xf numFmtId="0" fontId="0" fillId="44" borderId="17" xfId="0" applyFill="1" applyBorder="1" applyAlignment="1">
      <alignment horizontal="center"/>
    </xf>
    <xf numFmtId="0" fontId="5" fillId="0" borderId="0" xfId="0" applyFont="1" applyAlignment="1">
      <alignment horizontal="left" vertical="top"/>
    </xf>
    <xf numFmtId="0" fontId="5" fillId="33" borderId="17" xfId="0" applyFont="1" applyFill="1" applyBorder="1" applyAlignment="1">
      <alignment horizontal="left" vertical="top"/>
    </xf>
    <xf numFmtId="0" fontId="0" fillId="33" borderId="18" xfId="0" applyFill="1" applyBorder="1" applyAlignment="1">
      <alignment vertical="top"/>
    </xf>
    <xf numFmtId="0" fontId="5" fillId="33" borderId="17" xfId="0" applyFont="1" applyFill="1" applyBorder="1" applyAlignment="1">
      <alignment horizontal="center" vertical="top"/>
    </xf>
    <xf numFmtId="0" fontId="5" fillId="33" borderId="11" xfId="0" applyFont="1" applyFill="1" applyBorder="1" applyAlignment="1">
      <alignment horizontal="center" vertical="top"/>
    </xf>
    <xf numFmtId="0" fontId="5" fillId="33" borderId="11" xfId="0" applyFont="1" applyFill="1" applyBorder="1" applyAlignment="1">
      <alignment vertical="top"/>
    </xf>
    <xf numFmtId="0" fontId="0" fillId="45" borderId="11" xfId="0" applyFill="1" applyBorder="1" applyAlignment="1">
      <alignment horizontal="center" vertical="top"/>
    </xf>
    <xf numFmtId="0" fontId="0" fillId="45" borderId="17" xfId="0" applyFont="1" applyFill="1" applyBorder="1" applyAlignment="1">
      <alignment horizontal="left" vertical="top"/>
    </xf>
    <xf numFmtId="0" fontId="0" fillId="45" borderId="11" xfId="0" applyFont="1" applyFill="1" applyBorder="1" applyAlignment="1">
      <alignment horizontal="center" vertical="center"/>
    </xf>
    <xf numFmtId="0" fontId="0" fillId="45" borderId="17" xfId="0" applyFill="1" applyBorder="1" applyAlignment="1">
      <alignment horizontal="center" vertical="center"/>
    </xf>
    <xf numFmtId="0" fontId="0" fillId="45" borderId="13" xfId="0" applyFill="1" applyBorder="1" applyAlignment="1">
      <alignment horizontal="center" vertical="top"/>
    </xf>
    <xf numFmtId="0" fontId="0" fillId="45" borderId="10" xfId="0" applyFont="1" applyFill="1" applyBorder="1" applyAlignment="1">
      <alignment horizontal="left" vertical="top"/>
    </xf>
    <xf numFmtId="0" fontId="0" fillId="45" borderId="13" xfId="0" applyFont="1" applyFill="1" applyBorder="1" applyAlignment="1">
      <alignment horizontal="center" vertical="center"/>
    </xf>
    <xf numFmtId="0" fontId="0" fillId="45" borderId="10" xfId="0" applyFill="1" applyBorder="1" applyAlignment="1">
      <alignment horizontal="center" vertical="center"/>
    </xf>
    <xf numFmtId="0" fontId="0" fillId="45" borderId="17"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22" xfId="0" applyFill="1" applyBorder="1" applyAlignment="1">
      <alignment horizontal="center" vertical="top"/>
    </xf>
    <xf numFmtId="0" fontId="0" fillId="45" borderId="23" xfId="0" applyFill="1" applyBorder="1" applyAlignment="1">
      <alignment horizontal="left" vertical="top"/>
    </xf>
    <xf numFmtId="0" fontId="0" fillId="45" borderId="22" xfId="0" applyFont="1" applyFill="1" applyBorder="1" applyAlignment="1">
      <alignment horizontal="center" vertical="center"/>
    </xf>
    <xf numFmtId="0" fontId="0" fillId="45" borderId="23" xfId="0" applyFill="1" applyBorder="1" applyAlignment="1">
      <alignment horizontal="center" vertical="center"/>
    </xf>
    <xf numFmtId="0" fontId="0" fillId="45" borderId="24" xfId="0" applyFill="1" applyBorder="1" applyAlignment="1">
      <alignment vertical="top"/>
    </xf>
    <xf numFmtId="0" fontId="0" fillId="45" borderId="10" xfId="0" applyFill="1" applyBorder="1" applyAlignment="1">
      <alignment horizontal="left" vertical="top"/>
    </xf>
    <xf numFmtId="0" fontId="0" fillId="45" borderId="19" xfId="0" applyFill="1" applyBorder="1" applyAlignment="1">
      <alignment vertical="top"/>
    </xf>
    <xf numFmtId="0" fontId="9" fillId="45" borderId="25" xfId="0" applyFont="1" applyFill="1" applyBorder="1" applyAlignment="1">
      <alignment vertical="center" wrapText="1"/>
    </xf>
    <xf numFmtId="0" fontId="9" fillId="45" borderId="26" xfId="0" applyFont="1" applyFill="1" applyBorder="1" applyAlignment="1">
      <alignment vertical="center" wrapText="1"/>
    </xf>
    <xf numFmtId="0" fontId="0" fillId="45" borderId="11" xfId="0" applyFont="1" applyFill="1" applyBorder="1" applyAlignment="1" quotePrefix="1">
      <alignment vertical="top"/>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5" fillId="33" borderId="27" xfId="0" applyFont="1" applyFill="1" applyBorder="1" applyAlignment="1">
      <alignment horizontal="center"/>
    </xf>
    <xf numFmtId="0" fontId="0" fillId="44" borderId="18" xfId="0" applyFill="1" applyBorder="1" applyAlignment="1">
      <alignment horizontal="center"/>
    </xf>
    <xf numFmtId="0" fontId="0" fillId="0"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42"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35" borderId="20" xfId="0" applyFont="1" applyFill="1" applyBorder="1" applyAlignment="1">
      <alignment horizontal="center" vertical="center" wrapText="1"/>
    </xf>
    <xf numFmtId="180" fontId="0" fillId="11" borderId="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7" xfId="0" applyNumberFormat="1" applyFont="1" applyFill="1" applyBorder="1" applyAlignment="1">
      <alignment horizontal="center"/>
    </xf>
    <xf numFmtId="2" fontId="0" fillId="37" borderId="17" xfId="0" applyNumberFormat="1" applyFill="1" applyBorder="1" applyAlignment="1">
      <alignment horizontal="center"/>
    </xf>
    <xf numFmtId="0" fontId="0" fillId="37" borderId="18" xfId="0" applyNumberFormat="1" applyFont="1" applyFill="1" applyBorder="1" applyAlignment="1">
      <alignment horizontal="center"/>
    </xf>
    <xf numFmtId="0" fontId="0" fillId="11"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34" borderId="15"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5" xfId="0" applyNumberFormat="1" applyFont="1" applyFill="1" applyBorder="1" applyAlignment="1">
      <alignment horizontal="center"/>
    </xf>
    <xf numFmtId="0" fontId="0" fillId="6" borderId="14"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5" xfId="0" applyNumberFormat="1" applyFont="1" applyFill="1" applyBorder="1" applyAlignment="1">
      <alignment horizontal="center"/>
    </xf>
    <xf numFmtId="0" fontId="0" fillId="13" borderId="14"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5" xfId="0" applyFill="1" applyBorder="1" applyAlignment="1">
      <alignment horizontal="center"/>
    </xf>
    <xf numFmtId="0" fontId="0" fillId="0" borderId="1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13" borderId="14" xfId="0" applyFont="1" applyFill="1" applyBorder="1" applyAlignment="1">
      <alignment horizontal="center"/>
    </xf>
    <xf numFmtId="0" fontId="0" fillId="33" borderId="14" xfId="0" applyFont="1" applyFill="1" applyBorder="1" applyAlignment="1">
      <alignment horizontal="center"/>
    </xf>
    <xf numFmtId="0" fontId="0" fillId="36" borderId="14" xfId="0" applyFont="1" applyFill="1" applyBorder="1" applyAlignment="1">
      <alignment horizontal="center"/>
    </xf>
    <xf numFmtId="49" fontId="0" fillId="6" borderId="0" xfId="0" applyNumberFormat="1" applyFill="1" applyBorder="1" applyAlignment="1">
      <alignment horizontal="center"/>
    </xf>
    <xf numFmtId="0" fontId="0" fillId="13" borderId="0" xfId="0" applyFont="1" applyFill="1" applyBorder="1" applyAlignment="1">
      <alignment/>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0" fillId="35" borderId="15" xfId="0" applyNumberFormat="1" applyFont="1" applyFill="1" applyBorder="1" applyAlignment="1">
      <alignment horizontal="center"/>
    </xf>
    <xf numFmtId="180" fontId="0" fillId="35" borderId="0" xfId="0" applyNumberFormat="1" applyFont="1" applyFill="1" applyBorder="1" applyAlignment="1">
      <alignment horizontal="center"/>
    </xf>
    <xf numFmtId="2" fontId="0" fillId="35" borderId="0" xfId="0" applyNumberFormat="1" applyFill="1" applyBorder="1" applyAlignment="1">
      <alignment horizontal="center"/>
    </xf>
    <xf numFmtId="0" fontId="5" fillId="36" borderId="11" xfId="0" applyFont="1" applyFill="1" applyBorder="1" applyAlignment="1">
      <alignment horizontal="center"/>
    </xf>
    <xf numFmtId="0" fontId="5" fillId="34" borderId="12" xfId="0" applyFont="1" applyFill="1" applyBorder="1" applyAlignment="1">
      <alignment horizontal="center"/>
    </xf>
    <xf numFmtId="179" fontId="5" fillId="13" borderId="12" xfId="0" applyNumberFormat="1" applyFont="1" applyFill="1" applyBorder="1" applyAlignment="1">
      <alignment horizontal="center"/>
    </xf>
    <xf numFmtId="179" fontId="5" fillId="38" borderId="12" xfId="0" applyNumberFormat="1" applyFont="1" applyFill="1" applyBorder="1" applyAlignment="1">
      <alignment horizontal="center"/>
    </xf>
    <xf numFmtId="179" fontId="5" fillId="40" borderId="12" xfId="0" applyNumberFormat="1" applyFont="1" applyFill="1" applyBorder="1" applyAlignment="1">
      <alignment horizontal="center"/>
    </xf>
    <xf numFmtId="0" fontId="5" fillId="32" borderId="12" xfId="0" applyFont="1" applyFill="1" applyBorder="1" applyAlignment="1">
      <alignment horizontal="center"/>
    </xf>
    <xf numFmtId="179" fontId="5" fillId="37" borderId="12" xfId="0" applyNumberFormat="1" applyFont="1" applyFill="1" applyBorder="1" applyAlignment="1">
      <alignment horizontal="center"/>
    </xf>
    <xf numFmtId="179" fontId="5" fillId="11" borderId="12" xfId="0" applyNumberFormat="1" applyFont="1" applyFill="1" applyBorder="1" applyAlignment="1">
      <alignment horizontal="center"/>
    </xf>
    <xf numFmtId="0" fontId="5" fillId="13" borderId="12" xfId="0" applyFont="1" applyFill="1" applyBorder="1" applyAlignment="1">
      <alignment horizontal="center"/>
    </xf>
    <xf numFmtId="0" fontId="5" fillId="38" borderId="12" xfId="0" applyFont="1" applyFill="1" applyBorder="1" applyAlignment="1">
      <alignment horizontal="center"/>
    </xf>
    <xf numFmtId="0" fontId="5" fillId="40" borderId="12" xfId="0" applyFont="1" applyFill="1" applyBorder="1" applyAlignment="1">
      <alignment horizontal="center"/>
    </xf>
    <xf numFmtId="0" fontId="5" fillId="42" borderId="12" xfId="0" applyFont="1" applyFill="1" applyBorder="1" applyAlignment="1">
      <alignment horizontal="center"/>
    </xf>
    <xf numFmtId="0" fontId="5" fillId="33" borderId="12" xfId="0" applyFont="1" applyFill="1" applyBorder="1" applyAlignment="1">
      <alignment horizontal="center"/>
    </xf>
    <xf numFmtId="0" fontId="5" fillId="37" borderId="12" xfId="0" applyFont="1" applyFill="1" applyBorder="1" applyAlignment="1">
      <alignment horizontal="center"/>
    </xf>
    <xf numFmtId="0" fontId="5" fillId="11"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36" borderId="11" xfId="0" applyNumberFormat="1" applyFont="1" applyFill="1" applyBorder="1" applyAlignment="1">
      <alignment horizontal="center"/>
    </xf>
    <xf numFmtId="1" fontId="8" fillId="0" borderId="19" xfId="0" applyNumberFormat="1" applyFont="1" applyBorder="1" applyAlignment="1">
      <alignment horizontal="center"/>
    </xf>
    <xf numFmtId="0" fontId="0" fillId="0" borderId="17" xfId="0" applyBorder="1" applyAlignment="1">
      <alignment/>
    </xf>
    <xf numFmtId="49" fontId="0" fillId="11" borderId="0" xfId="0" applyNumberFormat="1" applyFill="1" applyBorder="1" applyAlignment="1">
      <alignment/>
    </xf>
    <xf numFmtId="49" fontId="0" fillId="35" borderId="0" xfId="0" applyNumberFormat="1" applyFill="1" applyBorder="1" applyAlignment="1">
      <alignment/>
    </xf>
    <xf numFmtId="49" fontId="0" fillId="6"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0" fillId="33" borderId="20" xfId="0" applyFill="1" applyBorder="1" applyAlignment="1">
      <alignment horizontal="center"/>
    </xf>
    <xf numFmtId="0" fontId="5" fillId="33" borderId="11" xfId="0" applyFont="1" applyFill="1" applyBorder="1" applyAlignment="1">
      <alignment horizontal="center" vertical="center" wrapText="1"/>
    </xf>
    <xf numFmtId="0" fontId="5" fillId="44" borderId="17" xfId="0" applyFont="1" applyFill="1" applyBorder="1" applyAlignment="1">
      <alignment horizontal="center" vertical="center" wrapText="1"/>
    </xf>
    <xf numFmtId="0" fontId="0" fillId="34" borderId="15" xfId="0" applyFont="1" applyFill="1" applyBorder="1" applyAlignment="1">
      <alignment horizontal="center"/>
    </xf>
    <xf numFmtId="0" fontId="0" fillId="11" borderId="15" xfId="0" applyFont="1" applyFill="1" applyBorder="1" applyAlignment="1">
      <alignment horizontal="center"/>
    </xf>
    <xf numFmtId="0" fontId="0" fillId="35" borderId="15" xfId="0" applyFont="1" applyFill="1" applyBorder="1" applyAlignment="1">
      <alignment horizontal="center"/>
    </xf>
    <xf numFmtId="0" fontId="0" fillId="32" borderId="15" xfId="0" applyFont="1" applyFill="1" applyBorder="1" applyAlignment="1">
      <alignment horizontal="center"/>
    </xf>
    <xf numFmtId="0" fontId="0" fillId="37" borderId="15" xfId="0" applyFont="1" applyFill="1" applyBorder="1" applyAlignment="1">
      <alignment horizontal="center"/>
    </xf>
    <xf numFmtId="0" fontId="0" fillId="13" borderId="15" xfId="0" applyFont="1" applyFill="1" applyBorder="1" applyAlignment="1">
      <alignment horizontal="center"/>
    </xf>
    <xf numFmtId="0" fontId="0" fillId="32" borderId="14" xfId="0" applyFont="1" applyFill="1" applyBorder="1" applyAlignment="1">
      <alignment/>
    </xf>
    <xf numFmtId="0" fontId="0" fillId="35" borderId="14" xfId="0" applyFont="1" applyFill="1" applyBorder="1" applyAlignment="1">
      <alignment/>
    </xf>
    <xf numFmtId="0" fontId="0" fillId="34" borderId="14" xfId="0" applyFont="1" applyFill="1" applyBorder="1" applyAlignment="1">
      <alignment/>
    </xf>
    <xf numFmtId="0" fontId="0" fillId="11" borderId="14" xfId="0" applyFont="1" applyFill="1" applyBorder="1" applyAlignment="1">
      <alignment/>
    </xf>
    <xf numFmtId="0" fontId="0" fillId="37" borderId="14" xfId="0" applyFont="1" applyFill="1" applyBorder="1" applyAlignment="1">
      <alignment/>
    </xf>
    <xf numFmtId="0" fontId="0" fillId="13" borderId="14" xfId="0" applyFont="1" applyFill="1" applyBorder="1" applyAlignment="1">
      <alignment/>
    </xf>
    <xf numFmtId="49" fontId="0" fillId="0" borderId="10" xfId="0" applyNumberFormat="1" applyBorder="1" applyAlignment="1">
      <alignment/>
    </xf>
    <xf numFmtId="49" fontId="0" fillId="37" borderId="17" xfId="0" applyNumberFormat="1" applyFill="1" applyBorder="1" applyAlignment="1">
      <alignment/>
    </xf>
    <xf numFmtId="2" fontId="0" fillId="34" borderId="0" xfId="0" applyNumberFormat="1" applyFont="1" applyFill="1" applyBorder="1" applyAlignment="1">
      <alignment horizontal="center"/>
    </xf>
    <xf numFmtId="0" fontId="0" fillId="6" borderId="0" xfId="0" applyFont="1" applyFill="1" applyBorder="1" applyAlignment="1">
      <alignment/>
    </xf>
    <xf numFmtId="0" fontId="0" fillId="6" borderId="0" xfId="0" applyFont="1" applyFill="1" applyBorder="1" applyAlignment="1">
      <alignment horizontal="center"/>
    </xf>
    <xf numFmtId="0" fontId="0" fillId="6" borderId="14" xfId="0" applyFont="1" applyFill="1" applyBorder="1" applyAlignment="1">
      <alignment horizontal="center"/>
    </xf>
    <xf numFmtId="0" fontId="6" fillId="6" borderId="0" xfId="0" applyFont="1" applyFill="1" applyBorder="1" applyAlignment="1">
      <alignment/>
    </xf>
    <xf numFmtId="0" fontId="5" fillId="6" borderId="0" xfId="0" applyFont="1" applyFill="1" applyBorder="1" applyAlignment="1" quotePrefix="1">
      <alignment horizontal="center"/>
    </xf>
    <xf numFmtId="0" fontId="0" fillId="6" borderId="0" xfId="0" applyFill="1" applyAlignment="1">
      <alignment horizontal="center"/>
    </xf>
    <xf numFmtId="0" fontId="5" fillId="6" borderId="11" xfId="0" applyNumberFormat="1" applyFont="1" applyFill="1" applyBorder="1" applyAlignment="1">
      <alignment horizontal="center"/>
    </xf>
    <xf numFmtId="0" fontId="5" fillId="6" borderId="12" xfId="0" applyNumberFormat="1" applyFont="1" applyFill="1" applyBorder="1" applyAlignment="1">
      <alignment horizontal="center"/>
    </xf>
    <xf numFmtId="0" fontId="5" fillId="6" borderId="13" xfId="0" applyNumberFormat="1" applyFont="1" applyFill="1" applyBorder="1" applyAlignment="1">
      <alignment horizontal="center"/>
    </xf>
    <xf numFmtId="0" fontId="5" fillId="33" borderId="22" xfId="0" applyFont="1" applyFill="1" applyBorder="1" applyAlignment="1">
      <alignment horizontal="center" vertical="center" wrapText="1"/>
    </xf>
    <xf numFmtId="0" fontId="5" fillId="44" borderId="23" xfId="0" applyFont="1" applyFill="1" applyBorder="1" applyAlignment="1">
      <alignment horizontal="center" vertical="center" wrapText="1"/>
    </xf>
    <xf numFmtId="0" fontId="0" fillId="33" borderId="17"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5" fillId="34" borderId="0" xfId="0" applyFont="1" applyFill="1" applyBorder="1" applyAlignment="1">
      <alignment horizontal="center"/>
    </xf>
    <xf numFmtId="0" fontId="0" fillId="0" borderId="14" xfId="0" applyBorder="1" applyAlignment="1">
      <alignment horizontal="center"/>
    </xf>
    <xf numFmtId="179" fontId="5" fillId="13" borderId="15" xfId="0" applyNumberFormat="1" applyFont="1" applyFill="1" applyBorder="1" applyAlignment="1">
      <alignment horizontal="center"/>
    </xf>
    <xf numFmtId="179" fontId="5" fillId="38" borderId="15" xfId="0" applyNumberFormat="1" applyFont="1" applyFill="1" applyBorder="1" applyAlignment="1">
      <alignment horizontal="center"/>
    </xf>
    <xf numFmtId="179" fontId="5" fillId="40" borderId="15" xfId="0" applyNumberFormat="1" applyFont="1" applyFill="1" applyBorder="1" applyAlignment="1">
      <alignment horizontal="center"/>
    </xf>
    <xf numFmtId="0" fontId="5" fillId="42" borderId="0" xfId="0" applyFont="1" applyFill="1" applyBorder="1" applyAlignment="1">
      <alignment horizontal="center"/>
    </xf>
    <xf numFmtId="0" fontId="5" fillId="33" borderId="0" xfId="0" applyFont="1" applyFill="1" applyBorder="1" applyAlignment="1">
      <alignment horizontal="center"/>
    </xf>
    <xf numFmtId="179" fontId="5" fillId="33" borderId="15" xfId="0" applyNumberFormat="1" applyFont="1" applyFill="1" applyBorder="1" applyAlignment="1">
      <alignment horizontal="center"/>
    </xf>
    <xf numFmtId="0" fontId="5" fillId="37" borderId="0" xfId="0" applyFont="1" applyFill="1" applyBorder="1" applyAlignment="1">
      <alignment horizontal="center"/>
    </xf>
    <xf numFmtId="179" fontId="5" fillId="37" borderId="15" xfId="0" applyNumberFormat="1" applyFont="1" applyFill="1" applyBorder="1" applyAlignment="1">
      <alignment horizontal="center"/>
    </xf>
    <xf numFmtId="0" fontId="5" fillId="11" borderId="0" xfId="0" applyFont="1" applyFill="1" applyBorder="1" applyAlignment="1">
      <alignment horizontal="center"/>
    </xf>
    <xf numFmtId="179" fontId="5" fillId="11" borderId="15" xfId="0" applyNumberFormat="1" applyFont="1" applyFill="1" applyBorder="1" applyAlignment="1">
      <alignment horizontal="center"/>
    </xf>
    <xf numFmtId="185" fontId="0" fillId="0" borderId="0" xfId="0" applyNumberFormat="1" applyBorder="1" applyAlignment="1">
      <alignment/>
    </xf>
    <xf numFmtId="185" fontId="0" fillId="0" borderId="10" xfId="0" applyNumberFormat="1" applyBorder="1" applyAlignment="1">
      <alignment/>
    </xf>
    <xf numFmtId="0" fontId="0" fillId="0" borderId="10" xfId="0" applyBorder="1" applyAlignment="1">
      <alignment horizontal="center"/>
    </xf>
    <xf numFmtId="0" fontId="0" fillId="33" borderId="10" xfId="0" applyFill="1" applyBorder="1" applyAlignment="1">
      <alignment horizontal="center"/>
    </xf>
    <xf numFmtId="0" fontId="0" fillId="0" borderId="20" xfId="0" applyBorder="1" applyAlignment="1">
      <alignment horizontal="center"/>
    </xf>
    <xf numFmtId="0" fontId="0" fillId="6" borderId="16" xfId="0" applyFont="1" applyFill="1" applyBorder="1" applyAlignment="1">
      <alignment/>
    </xf>
    <xf numFmtId="0" fontId="0" fillId="6" borderId="17" xfId="0" applyFont="1" applyFill="1" applyBorder="1" applyAlignment="1">
      <alignment/>
    </xf>
    <xf numFmtId="0" fontId="0" fillId="6" borderId="17" xfId="0" applyFill="1" applyBorder="1" applyAlignment="1">
      <alignment horizontal="center"/>
    </xf>
    <xf numFmtId="0" fontId="0" fillId="45" borderId="17" xfId="0" applyFont="1" applyFill="1" applyBorder="1" applyAlignment="1">
      <alignment horizontal="center"/>
    </xf>
    <xf numFmtId="0" fontId="0" fillId="6" borderId="17" xfId="0" applyFont="1" applyFill="1" applyBorder="1" applyAlignment="1">
      <alignment horizontal="center"/>
    </xf>
    <xf numFmtId="0" fontId="0" fillId="6" borderId="18" xfId="0" applyFont="1" applyFill="1" applyBorder="1" applyAlignment="1">
      <alignment horizontal="center"/>
    </xf>
    <xf numFmtId="0" fontId="0" fillId="38" borderId="15" xfId="0" applyFont="1" applyFill="1" applyBorder="1" applyAlignment="1">
      <alignment horizontal="center"/>
    </xf>
    <xf numFmtId="0" fontId="0" fillId="38" borderId="14" xfId="0" applyFont="1" applyFill="1" applyBorder="1" applyAlignment="1">
      <alignment/>
    </xf>
    <xf numFmtId="0" fontId="0" fillId="36" borderId="0" xfId="0" applyFont="1" applyFill="1" applyAlignment="1">
      <alignment/>
    </xf>
    <xf numFmtId="0" fontId="49" fillId="0" borderId="0" xfId="0" applyFont="1" applyFill="1" applyBorder="1" applyAlignment="1">
      <alignment horizontal="center"/>
    </xf>
    <xf numFmtId="0" fontId="5" fillId="43" borderId="0" xfId="0" applyFont="1" applyFill="1" applyBorder="1" applyAlignment="1" quotePrefix="1">
      <alignment horizontal="center"/>
    </xf>
    <xf numFmtId="0" fontId="0" fillId="43" borderId="0" xfId="0" applyFont="1" applyFill="1" applyBorder="1" applyAlignment="1">
      <alignment/>
    </xf>
    <xf numFmtId="0" fontId="0" fillId="43" borderId="0" xfId="0" applyFont="1" applyFill="1" applyAlignment="1">
      <alignment horizontal="center"/>
    </xf>
    <xf numFmtId="0" fontId="5" fillId="43" borderId="11" xfId="0" applyNumberFormat="1" applyFont="1" applyFill="1" applyBorder="1" applyAlignment="1">
      <alignment horizontal="center"/>
    </xf>
    <xf numFmtId="0" fontId="0" fillId="43" borderId="14" xfId="0" applyFont="1" applyFill="1" applyBorder="1" applyAlignment="1">
      <alignment horizontal="center"/>
    </xf>
    <xf numFmtId="0" fontId="0" fillId="43" borderId="0" xfId="0" applyFont="1" applyFill="1" applyBorder="1" applyAlignment="1">
      <alignment horizontal="center"/>
    </xf>
    <xf numFmtId="0" fontId="5" fillId="43" borderId="12" xfId="0" applyNumberFormat="1" applyFont="1" applyFill="1" applyBorder="1" applyAlignment="1">
      <alignment horizontal="center"/>
    </xf>
    <xf numFmtId="0" fontId="0" fillId="43" borderId="0" xfId="0" applyFill="1" applyBorder="1" applyAlignment="1">
      <alignment/>
    </xf>
    <xf numFmtId="0" fontId="5" fillId="43" borderId="0" xfId="0" applyFont="1" applyFill="1" applyBorder="1" applyAlignment="1">
      <alignment horizontal="center"/>
    </xf>
    <xf numFmtId="0" fontId="5" fillId="43" borderId="13" xfId="0" applyNumberFormat="1" applyFont="1" applyFill="1" applyBorder="1" applyAlignment="1">
      <alignment horizontal="center"/>
    </xf>
    <xf numFmtId="0" fontId="6" fillId="43" borderId="0" xfId="0" applyFont="1" applyFill="1" applyBorder="1" applyAlignment="1">
      <alignment/>
    </xf>
    <xf numFmtId="179" fontId="0" fillId="43" borderId="0" xfId="0" applyNumberFormat="1" applyFill="1" applyBorder="1" applyAlignment="1">
      <alignment/>
    </xf>
    <xf numFmtId="0" fontId="0" fillId="13" borderId="20" xfId="0" applyFont="1" applyFill="1" applyBorder="1" applyAlignment="1">
      <alignment/>
    </xf>
    <xf numFmtId="0" fontId="0" fillId="33" borderId="14" xfId="0" applyFont="1" applyFill="1" applyBorder="1" applyAlignment="1">
      <alignment/>
    </xf>
    <xf numFmtId="0" fontId="0" fillId="13" borderId="10" xfId="0" applyFont="1" applyFill="1" applyBorder="1" applyAlignment="1">
      <alignment/>
    </xf>
    <xf numFmtId="0" fontId="0" fillId="13" borderId="10" xfId="0" applyFont="1" applyFill="1" applyBorder="1" applyAlignment="1">
      <alignment horizontal="center"/>
    </xf>
    <xf numFmtId="0" fontId="0" fillId="13" borderId="19" xfId="0" applyFont="1" applyFill="1" applyBorder="1" applyAlignment="1">
      <alignment horizontal="center"/>
    </xf>
    <xf numFmtId="0" fontId="0" fillId="33" borderId="15" xfId="0" applyFont="1" applyFill="1" applyBorder="1" applyAlignment="1">
      <alignment horizontal="center"/>
    </xf>
    <xf numFmtId="0" fontId="5" fillId="39" borderId="28" xfId="0" applyNumberFormat="1" applyFont="1" applyFill="1" applyBorder="1" applyAlignment="1">
      <alignment horizontal="center"/>
    </xf>
    <xf numFmtId="0" fontId="0" fillId="0" borderId="0" xfId="0" applyFont="1" applyBorder="1" applyAlignment="1">
      <alignment/>
    </xf>
    <xf numFmtId="0" fontId="0" fillId="37" borderId="17" xfId="0" applyFill="1" applyBorder="1" applyAlignment="1">
      <alignment horizontal="center"/>
    </xf>
    <xf numFmtId="185" fontId="5" fillId="37" borderId="17" xfId="0" applyNumberFormat="1" applyFont="1" applyFill="1" applyBorder="1" applyAlignment="1">
      <alignment/>
    </xf>
    <xf numFmtId="0" fontId="5" fillId="37" borderId="17" xfId="0" applyFont="1" applyFill="1" applyBorder="1" applyAlignment="1">
      <alignment horizontal="center"/>
    </xf>
    <xf numFmtId="0" fontId="0" fillId="37" borderId="14" xfId="0" applyFill="1" applyBorder="1" applyAlignment="1">
      <alignment horizontal="center"/>
    </xf>
    <xf numFmtId="0" fontId="0" fillId="37" borderId="0" xfId="0" applyFill="1" applyBorder="1" applyAlignment="1">
      <alignment/>
    </xf>
    <xf numFmtId="0" fontId="0" fillId="37" borderId="0" xfId="0" applyFill="1" applyBorder="1" applyAlignment="1">
      <alignment horizontal="center"/>
    </xf>
    <xf numFmtId="185" fontId="0" fillId="37" borderId="0" xfId="0" applyNumberFormat="1" applyFill="1" applyBorder="1" applyAlignment="1">
      <alignment/>
    </xf>
    <xf numFmtId="0" fontId="0" fillId="37" borderId="0" xfId="0" applyNumberFormat="1" applyFont="1" applyFill="1" applyBorder="1" applyAlignment="1">
      <alignment horizontal="center"/>
    </xf>
    <xf numFmtId="0" fontId="0" fillId="37" borderId="15" xfId="0" applyNumberFormat="1" applyFont="1" applyFill="1" applyBorder="1" applyAlignment="1">
      <alignment horizontal="center"/>
    </xf>
    <xf numFmtId="180" fontId="0" fillId="37" borderId="0" xfId="0" applyNumberFormat="1" applyFont="1" applyFill="1" applyBorder="1" applyAlignment="1">
      <alignment horizontal="center"/>
    </xf>
    <xf numFmtId="2" fontId="0" fillId="37" borderId="0" xfId="0" applyNumberFormat="1" applyFill="1" applyBorder="1" applyAlignment="1">
      <alignment horizontal="center"/>
    </xf>
    <xf numFmtId="0" fontId="0" fillId="37" borderId="15" xfId="0" applyFill="1" applyBorder="1" applyAlignment="1">
      <alignment horizontal="center"/>
    </xf>
    <xf numFmtId="0" fontId="0" fillId="42" borderId="14" xfId="0" applyFill="1" applyBorder="1" applyAlignment="1">
      <alignment horizontal="center"/>
    </xf>
    <xf numFmtId="0" fontId="0" fillId="42" borderId="0" xfId="0" applyFill="1" applyBorder="1" applyAlignment="1">
      <alignment/>
    </xf>
    <xf numFmtId="0" fontId="0" fillId="42" borderId="0" xfId="0" applyFill="1" applyBorder="1" applyAlignment="1">
      <alignment horizontal="center"/>
    </xf>
    <xf numFmtId="0" fontId="0" fillId="42" borderId="0" xfId="0" applyNumberFormat="1" applyFont="1" applyFill="1" applyBorder="1" applyAlignment="1">
      <alignment horizontal="center"/>
    </xf>
    <xf numFmtId="0" fontId="0" fillId="42" borderId="15" xfId="0" applyNumberFormat="1" applyFont="1" applyFill="1" applyBorder="1" applyAlignment="1">
      <alignment horizontal="center"/>
    </xf>
    <xf numFmtId="185" fontId="0" fillId="11" borderId="0" xfId="0" applyNumberFormat="1" applyFill="1" applyBorder="1" applyAlignment="1">
      <alignment/>
    </xf>
    <xf numFmtId="0" fontId="0" fillId="33" borderId="0" xfId="0" applyFill="1" applyBorder="1" applyAlignment="1">
      <alignment/>
    </xf>
    <xf numFmtId="185" fontId="0" fillId="33" borderId="0" xfId="0" applyNumberFormat="1" applyFill="1" applyBorder="1" applyAlignment="1">
      <alignment/>
    </xf>
    <xf numFmtId="0" fontId="0" fillId="33" borderId="0" xfId="0" applyNumberFormat="1" applyFont="1" applyFill="1" applyBorder="1" applyAlignment="1">
      <alignment horizontal="center"/>
    </xf>
    <xf numFmtId="0" fontId="0" fillId="33" borderId="15" xfId="0" applyNumberFormat="1" applyFont="1" applyFill="1" applyBorder="1" applyAlignment="1">
      <alignment horizontal="center"/>
    </xf>
    <xf numFmtId="180" fontId="0" fillId="33" borderId="0" xfId="0" applyNumberFormat="1" applyFont="1" applyFill="1" applyBorder="1" applyAlignment="1">
      <alignment horizontal="center"/>
    </xf>
    <xf numFmtId="2" fontId="0" fillId="33" borderId="0" xfId="0" applyNumberFormat="1" applyFill="1" applyBorder="1" applyAlignment="1">
      <alignment horizontal="center"/>
    </xf>
    <xf numFmtId="185" fontId="5" fillId="42" borderId="0" xfId="0" applyNumberFormat="1" applyFont="1" applyFill="1" applyBorder="1" applyAlignment="1">
      <alignment/>
    </xf>
    <xf numFmtId="180" fontId="0" fillId="42" borderId="0" xfId="0" applyNumberFormat="1" applyFont="1" applyFill="1" applyBorder="1" applyAlignment="1">
      <alignment horizontal="center"/>
    </xf>
    <xf numFmtId="2" fontId="0" fillId="42" borderId="0" xfId="0" applyNumberFormat="1" applyFill="1" applyBorder="1" applyAlignment="1">
      <alignment horizontal="center"/>
    </xf>
    <xf numFmtId="0" fontId="0" fillId="42" borderId="15" xfId="0" applyFill="1" applyBorder="1" applyAlignment="1">
      <alignment horizontal="center"/>
    </xf>
    <xf numFmtId="185" fontId="0" fillId="32" borderId="0" xfId="0" applyNumberFormat="1" applyFill="1" applyBorder="1" applyAlignment="1">
      <alignment/>
    </xf>
    <xf numFmtId="185" fontId="0" fillId="34" borderId="0" xfId="0" applyNumberFormat="1" applyFill="1" applyBorder="1" applyAlignment="1">
      <alignment/>
    </xf>
    <xf numFmtId="0" fontId="0" fillId="46" borderId="14" xfId="0" applyFill="1" applyBorder="1" applyAlignment="1">
      <alignment horizontal="center"/>
    </xf>
    <xf numFmtId="0" fontId="0" fillId="46" borderId="0" xfId="0" applyFill="1" applyBorder="1" applyAlignment="1">
      <alignment/>
    </xf>
    <xf numFmtId="0" fontId="0" fillId="46" borderId="0" xfId="0" applyFill="1" applyBorder="1" applyAlignment="1">
      <alignment horizontal="center"/>
    </xf>
    <xf numFmtId="185" fontId="0" fillId="46" borderId="0" xfId="0" applyNumberFormat="1" applyFill="1" applyBorder="1" applyAlignment="1">
      <alignment/>
    </xf>
    <xf numFmtId="0" fontId="0" fillId="46" borderId="0" xfId="0" applyNumberFormat="1" applyFont="1" applyFill="1" applyBorder="1" applyAlignment="1">
      <alignment horizontal="center"/>
    </xf>
    <xf numFmtId="0" fontId="0" fillId="46" borderId="15" xfId="0" applyNumberFormat="1" applyFont="1" applyFill="1" applyBorder="1" applyAlignment="1">
      <alignment horizontal="center"/>
    </xf>
    <xf numFmtId="0" fontId="0" fillId="38" borderId="14" xfId="0" applyFill="1" applyBorder="1" applyAlignment="1">
      <alignment horizontal="center"/>
    </xf>
    <xf numFmtId="0" fontId="0" fillId="38" borderId="0" xfId="0" applyFill="1" applyBorder="1" applyAlignment="1">
      <alignment horizontal="center"/>
    </xf>
    <xf numFmtId="185" fontId="0" fillId="38" borderId="0" xfId="0" applyNumberFormat="1" applyFill="1" applyBorder="1" applyAlignment="1">
      <alignment/>
    </xf>
    <xf numFmtId="0" fontId="0" fillId="38" borderId="0" xfId="0" applyNumberFormat="1" applyFont="1" applyFill="1" applyBorder="1" applyAlignment="1">
      <alignment horizontal="center"/>
    </xf>
    <xf numFmtId="0" fontId="0" fillId="38" borderId="15" xfId="0" applyNumberFormat="1" applyFont="1"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8" borderId="15" xfId="0" applyFill="1" applyBorder="1" applyAlignment="1">
      <alignment horizontal="center"/>
    </xf>
    <xf numFmtId="0" fontId="0" fillId="36" borderId="0" xfId="0" applyFill="1" applyBorder="1" applyAlignment="1">
      <alignment horizontal="center"/>
    </xf>
    <xf numFmtId="180" fontId="0" fillId="46" borderId="0" xfId="0" applyNumberFormat="1" applyFont="1" applyFill="1" applyBorder="1" applyAlignment="1">
      <alignment horizontal="center"/>
    </xf>
    <xf numFmtId="2" fontId="0" fillId="46" borderId="0" xfId="0" applyNumberFormat="1" applyFill="1" applyBorder="1" applyAlignment="1">
      <alignment horizontal="center"/>
    </xf>
    <xf numFmtId="0" fontId="0" fillId="46" borderId="15" xfId="0" applyFill="1" applyBorder="1" applyAlignment="1">
      <alignment horizontal="center"/>
    </xf>
    <xf numFmtId="0" fontId="0" fillId="13" borderId="0" xfId="0" applyFill="1" applyBorder="1" applyAlignment="1">
      <alignment horizontal="center"/>
    </xf>
    <xf numFmtId="185" fontId="0" fillId="13" borderId="0" xfId="0" applyNumberFormat="1" applyFill="1" applyBorder="1" applyAlignment="1">
      <alignment/>
    </xf>
    <xf numFmtId="0" fontId="5" fillId="36" borderId="17" xfId="0" applyFont="1" applyFill="1" applyBorder="1" applyAlignment="1">
      <alignment horizontal="center"/>
    </xf>
    <xf numFmtId="179" fontId="5" fillId="36" borderId="18" xfId="0" applyNumberFormat="1" applyFont="1" applyFill="1" applyBorder="1" applyAlignment="1">
      <alignment horizontal="center"/>
    </xf>
    <xf numFmtId="49" fontId="5" fillId="34" borderId="15" xfId="0" applyNumberFormat="1" applyFont="1" applyFill="1" applyBorder="1" applyAlignment="1">
      <alignment horizontal="center"/>
    </xf>
    <xf numFmtId="49" fontId="5" fillId="32" borderId="15" xfId="0" applyNumberFormat="1" applyFont="1" applyFill="1" applyBorder="1" applyAlignment="1">
      <alignment horizontal="center"/>
    </xf>
    <xf numFmtId="49" fontId="5" fillId="6" borderId="15" xfId="0" applyNumberFormat="1" applyFont="1" applyFill="1" applyBorder="1" applyAlignment="1">
      <alignment horizontal="center"/>
    </xf>
    <xf numFmtId="0" fontId="5" fillId="35" borderId="10" xfId="0" applyFont="1" applyFill="1" applyBorder="1" applyAlignment="1">
      <alignment horizontal="center" vertical="center"/>
    </xf>
    <xf numFmtId="49" fontId="5" fillId="35" borderId="19" xfId="0" applyNumberFormat="1" applyFont="1" applyFill="1" applyBorder="1" applyAlignment="1">
      <alignment horizontal="center"/>
    </xf>
    <xf numFmtId="0" fontId="0" fillId="36" borderId="14" xfId="0" applyFont="1" applyFill="1" applyBorder="1" applyAlignment="1">
      <alignment/>
    </xf>
    <xf numFmtId="0" fontId="0" fillId="36" borderId="15" xfId="0" applyFont="1" applyFill="1" applyBorder="1" applyAlignment="1">
      <alignment horizontal="center"/>
    </xf>
    <xf numFmtId="0" fontId="5" fillId="39" borderId="29" xfId="0" applyNumberFormat="1" applyFont="1" applyFill="1" applyBorder="1" applyAlignment="1">
      <alignment horizontal="center"/>
    </xf>
    <xf numFmtId="0" fontId="5" fillId="39" borderId="30"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2" borderId="12" xfId="0" applyNumberFormat="1" applyFont="1" applyFill="1" applyBorder="1" applyAlignment="1">
      <alignment horizontal="center"/>
    </xf>
    <xf numFmtId="49" fontId="5" fillId="45" borderId="12" xfId="0" applyNumberFormat="1" applyFont="1" applyFill="1" applyBorder="1" applyAlignment="1">
      <alignment horizontal="center"/>
    </xf>
    <xf numFmtId="49" fontId="5" fillId="33" borderId="12" xfId="0" applyNumberFormat="1" applyFont="1" applyFill="1" applyBorder="1" applyAlignment="1">
      <alignment horizontal="center"/>
    </xf>
    <xf numFmtId="0" fontId="0" fillId="44" borderId="16" xfId="0" applyFill="1" applyBorder="1" applyAlignment="1">
      <alignment horizontal="center"/>
    </xf>
    <xf numFmtId="0" fontId="0" fillId="44" borderId="14" xfId="0" applyFill="1" applyBorder="1" applyAlignment="1">
      <alignment horizontal="center"/>
    </xf>
    <xf numFmtId="0" fontId="0" fillId="44" borderId="20" xfId="0" applyFill="1" applyBorder="1" applyAlignment="1">
      <alignment horizontal="center"/>
    </xf>
    <xf numFmtId="0" fontId="0" fillId="44" borderId="10" xfId="0" applyFill="1" applyBorder="1" applyAlignment="1">
      <alignment horizontal="center"/>
    </xf>
    <xf numFmtId="0" fontId="0" fillId="44" borderId="19" xfId="0" applyFill="1" applyBorder="1" applyAlignment="1">
      <alignment horizontal="center"/>
    </xf>
    <xf numFmtId="0" fontId="0" fillId="0" borderId="17" xfId="0" applyBorder="1" applyAlignment="1">
      <alignment horizontal="center"/>
    </xf>
    <xf numFmtId="0" fontId="4" fillId="47" borderId="0" xfId="0" applyFont="1" applyFill="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Font="1" applyAlignment="1">
      <alignment horizontal="left" vertical="top" wrapText="1"/>
    </xf>
    <xf numFmtId="0" fontId="0" fillId="45" borderId="18" xfId="0" applyFont="1" applyFill="1" applyBorder="1" applyAlignment="1">
      <alignment horizontal="center" vertical="center"/>
    </xf>
    <xf numFmtId="0" fontId="0" fillId="45" borderId="1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5">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2">
          <cell r="AE2" t="str">
            <v>SNA</v>
          </cell>
          <cell r="AF2" t="str">
            <v>Robert Downes</v>
          </cell>
          <cell r="AG2">
            <v>0.001427349537037037</v>
          </cell>
        </row>
        <row r="3">
          <cell r="AE3" t="str">
            <v>SNB</v>
          </cell>
          <cell r="AF3" t="str">
            <v>Stephen Downes</v>
          </cell>
          <cell r="AG3">
            <v>0.0014279050925925926</v>
          </cell>
        </row>
        <row r="4">
          <cell r="AE4" t="str">
            <v>SNC</v>
          </cell>
          <cell r="AF4" t="str">
            <v>Alan Conrad</v>
          </cell>
          <cell r="AG4">
            <v>0.0013765625000000002</v>
          </cell>
        </row>
        <row r="5">
          <cell r="AE5" t="str">
            <v>SND</v>
          </cell>
          <cell r="AF5" t="str">
            <v>Randy Stagno Navarra</v>
          </cell>
          <cell r="AG5">
            <v>0.0014013310185185186</v>
          </cell>
        </row>
        <row r="6">
          <cell r="AE6" t="str">
            <v>NAC</v>
          </cell>
          <cell r="AF6" t="str">
            <v>Robert Downes</v>
          </cell>
          <cell r="AG6">
            <v>0.0014134722222222222</v>
          </cell>
        </row>
        <row r="7">
          <cell r="AE7" t="str">
            <v>NBC</v>
          </cell>
          <cell r="AF7" t="str">
            <v>Noel Heritage</v>
          </cell>
          <cell r="AG7">
            <v>0.0013983680555555557</v>
          </cell>
        </row>
        <row r="8">
          <cell r="AE8" t="str">
            <v>ABMOD</v>
          </cell>
        </row>
        <row r="9">
          <cell r="AE9" t="str">
            <v>CDMOD</v>
          </cell>
        </row>
        <row r="10">
          <cell r="AE10" t="str">
            <v>SMOD</v>
          </cell>
          <cell r="AF10" t="str">
            <v>Russell Garner</v>
          </cell>
          <cell r="AG10">
            <v>0.0012893287037037038</v>
          </cell>
        </row>
        <row r="11">
          <cell r="AE11" t="str">
            <v>RES</v>
          </cell>
          <cell r="AF11" t="str">
            <v>Paul Ledwith</v>
          </cell>
          <cell r="AG11">
            <v>0.0012727662037037037</v>
          </cell>
        </row>
        <row r="12">
          <cell r="AE12" t="str">
            <v>OPN</v>
          </cell>
          <cell r="AF12" t="str">
            <v>David Wilken</v>
          </cell>
          <cell r="AG12">
            <v>0.0012022337962962963</v>
          </cell>
        </row>
      </sheetData>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0.0007975925925925927</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1">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27"/>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5742187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75">
      <c r="A1" s="475" t="s">
        <v>118</v>
      </c>
      <c r="B1" s="475"/>
      <c r="C1" s="475"/>
      <c r="D1" s="475"/>
      <c r="E1" s="475"/>
      <c r="F1" s="475"/>
      <c r="G1" s="475"/>
      <c r="H1" s="475"/>
      <c r="I1" s="475"/>
      <c r="J1" s="475"/>
      <c r="K1" s="475"/>
      <c r="L1" s="475"/>
      <c r="M1" s="475"/>
      <c r="N1" s="475"/>
      <c r="O1" s="475"/>
    </row>
    <row r="2" spans="1:17" s="27" customFormat="1" ht="119.25" customHeight="1" thickBot="1">
      <c r="A2" s="2" t="s">
        <v>0</v>
      </c>
      <c r="B2" s="62" t="s">
        <v>1</v>
      </c>
      <c r="C2" s="62"/>
      <c r="D2" s="2" t="s">
        <v>2</v>
      </c>
      <c r="E2" s="63" t="s">
        <v>53</v>
      </c>
      <c r="F2" s="64" t="s">
        <v>143</v>
      </c>
      <c r="G2" s="64" t="s">
        <v>149</v>
      </c>
      <c r="H2" s="64" t="s">
        <v>150</v>
      </c>
      <c r="I2" s="64" t="s">
        <v>151</v>
      </c>
      <c r="J2" s="64" t="s">
        <v>152</v>
      </c>
      <c r="K2" s="64" t="s">
        <v>153</v>
      </c>
      <c r="L2" s="64" t="s">
        <v>154</v>
      </c>
      <c r="M2" s="64" t="s">
        <v>155</v>
      </c>
      <c r="N2" s="64" t="s">
        <v>157</v>
      </c>
      <c r="O2" s="64" t="s">
        <v>156</v>
      </c>
      <c r="P2" s="26"/>
      <c r="Q2" s="26"/>
    </row>
    <row r="3" spans="1:16" s="5" customFormat="1" ht="12.75">
      <c r="A3" s="154">
        <v>1</v>
      </c>
      <c r="B3" s="374" t="s">
        <v>70</v>
      </c>
      <c r="C3" s="375" t="s">
        <v>71</v>
      </c>
      <c r="D3" s="376" t="s">
        <v>51</v>
      </c>
      <c r="E3" s="463">
        <f aca="true" t="shared" si="0" ref="E3:E10">SUM(F3:O3)</f>
        <v>210</v>
      </c>
      <c r="F3" s="378">
        <f>_xlfn.IFERROR(VLOOKUP($P3,'Rd1 PI'!$C$2:$AC$21,27,0),0)</f>
        <v>100</v>
      </c>
      <c r="G3" s="377">
        <f>_xlfn.IFERROR(VLOOKUP($P3,'Rd2 Winton'!$C$2:$AC$24,27,0),0)</f>
        <v>110</v>
      </c>
      <c r="H3" s="378">
        <f>_xlfn.IFERROR(VLOOKUP($P3,#REF!,27,0),0)</f>
        <v>0</v>
      </c>
      <c r="I3" s="378">
        <f>_xlfn.IFERROR(VLOOKUP($P3,#REF!,27,0),0)</f>
        <v>0</v>
      </c>
      <c r="J3" s="378">
        <f>_xlfn.IFERROR(VLOOKUP($P3,#REF!,27,0),0)</f>
        <v>0</v>
      </c>
      <c r="K3" s="378">
        <f>_xlfn.IFERROR(VLOOKUP($P3,#REF!,27,0),0)</f>
        <v>0</v>
      </c>
      <c r="L3" s="378">
        <f>_xlfn.IFERROR(VLOOKUP($P3,#REF!,27,0),0)</f>
        <v>0</v>
      </c>
      <c r="M3" s="378">
        <f>_xlfn.IFERROR(VLOOKUP($P3,#REF!,27,0),0)</f>
        <v>0</v>
      </c>
      <c r="N3" s="378">
        <f>_xlfn.IFERROR(VLOOKUP($P3,#REF!,27,0),0)</f>
        <v>0</v>
      </c>
      <c r="O3" s="379">
        <f>_xlfn.IFERROR(VLOOKUP($P3,#REF!,27,0),0)</f>
        <v>0</v>
      </c>
      <c r="P3" s="5" t="str">
        <f aca="true" t="shared" si="1" ref="P3:P22">CONCATENATE(LOWER(B3)," ",LOWER(C3))</f>
        <v>gavin newman</v>
      </c>
    </row>
    <row r="4" spans="1:16" s="5" customFormat="1" ht="12.75">
      <c r="A4" s="155">
        <v>1</v>
      </c>
      <c r="B4" s="338" t="s">
        <v>144</v>
      </c>
      <c r="C4" s="175" t="s">
        <v>145</v>
      </c>
      <c r="D4" s="125" t="s">
        <v>16</v>
      </c>
      <c r="E4" s="402">
        <f t="shared" si="0"/>
        <v>210</v>
      </c>
      <c r="F4" s="125">
        <f>_xlfn.IFERROR(VLOOKUP($P4,'Rd1 PI'!$C$2:$AC$21,27,0),0)</f>
        <v>100</v>
      </c>
      <c r="G4" s="125">
        <f>_xlfn.IFERROR(VLOOKUP($P4,'Rd2 Winton'!$C$2:$AC$24,27,0),0)</f>
        <v>110</v>
      </c>
      <c r="H4" s="125">
        <f>_xlfn.IFERROR(VLOOKUP($P4,#REF!,27,0),0)</f>
        <v>0</v>
      </c>
      <c r="I4" s="125">
        <f>_xlfn.IFERROR(VLOOKUP($P4,#REF!,27,0),0)</f>
        <v>0</v>
      </c>
      <c r="J4" s="125">
        <f>_xlfn.IFERROR(VLOOKUP($P4,#REF!,27,0),0)</f>
        <v>0</v>
      </c>
      <c r="K4" s="125">
        <f>_xlfn.IFERROR(VLOOKUP($P4,#REF!,27,0),0)</f>
        <v>0</v>
      </c>
      <c r="L4" s="125">
        <f>_xlfn.IFERROR(VLOOKUP($P4,#REF!,27,0),0)</f>
        <v>0</v>
      </c>
      <c r="M4" s="125">
        <f>_xlfn.IFERROR(VLOOKUP($P4,#REF!,27,0),0)</f>
        <v>0</v>
      </c>
      <c r="N4" s="125">
        <f>_xlfn.IFERROR(VLOOKUP($P4,#REF!,27,0),0)</f>
        <v>0</v>
      </c>
      <c r="O4" s="332">
        <f>_xlfn.IFERROR(VLOOKUP($P4,#REF!,27,0),0)</f>
        <v>0</v>
      </c>
      <c r="P4" s="5" t="str">
        <f t="shared" si="1"/>
        <v>russell garner</v>
      </c>
    </row>
    <row r="5" spans="1:16" s="5" customFormat="1" ht="12.75">
      <c r="A5" s="155">
        <v>3</v>
      </c>
      <c r="B5" s="334" t="s">
        <v>31</v>
      </c>
      <c r="C5" s="102" t="s">
        <v>32</v>
      </c>
      <c r="D5" s="43" t="s">
        <v>21</v>
      </c>
      <c r="E5" s="402">
        <f t="shared" si="0"/>
        <v>205</v>
      </c>
      <c r="F5" s="43">
        <f>_xlfn.IFERROR(VLOOKUP($P5,'Rd1 PI'!$C$2:$AC$21,27,0),0)</f>
        <v>100</v>
      </c>
      <c r="G5" s="43">
        <f>_xlfn.IFERROR(VLOOKUP($P5,'Rd2 Winton'!$C$2:$AC$24,27,0),0)</f>
        <v>105</v>
      </c>
      <c r="H5" s="43">
        <f>_xlfn.IFERROR(VLOOKUP($P5,#REF!,27,0),0)</f>
        <v>0</v>
      </c>
      <c r="I5" s="43">
        <f>_xlfn.IFERROR(VLOOKUP($P5,#REF!,27,0),0)</f>
        <v>0</v>
      </c>
      <c r="J5" s="43">
        <f>_xlfn.IFERROR(VLOOKUP($P5,#REF!,27,0),0)</f>
        <v>0</v>
      </c>
      <c r="K5" s="43">
        <f>_xlfn.IFERROR(VLOOKUP($P5,#REF!,27,0),0)</f>
        <v>0</v>
      </c>
      <c r="L5" s="43">
        <f>_xlfn.IFERROR(VLOOKUP($P5,#REF!,27,0),0)</f>
        <v>0</v>
      </c>
      <c r="M5" s="43">
        <f>_xlfn.IFERROR(VLOOKUP($P5,#REF!,27,0),0)</f>
        <v>0</v>
      </c>
      <c r="N5" s="43">
        <f>_xlfn.IFERROR(VLOOKUP($P5,#REF!,27,0),0)</f>
        <v>0</v>
      </c>
      <c r="O5" s="331">
        <f>_xlfn.IFERROR(VLOOKUP($P5,#REF!,27,0),0)</f>
        <v>0</v>
      </c>
      <c r="P5" s="5" t="str">
        <f t="shared" si="1"/>
        <v>noel heritage</v>
      </c>
    </row>
    <row r="6" spans="1:16" s="5" customFormat="1" ht="12.75">
      <c r="A6" s="155">
        <v>4</v>
      </c>
      <c r="B6" s="336" t="s">
        <v>57</v>
      </c>
      <c r="C6" s="56" t="s">
        <v>58</v>
      </c>
      <c r="D6" s="48" t="s">
        <v>5</v>
      </c>
      <c r="E6" s="402">
        <f t="shared" si="0"/>
        <v>195</v>
      </c>
      <c r="F6" s="51">
        <f>_xlfn.IFERROR(VLOOKUP($P6,'Rd1 PI'!$C$2:$AC$21,27,0),0)</f>
        <v>95</v>
      </c>
      <c r="G6" s="51">
        <f>_xlfn.IFERROR(VLOOKUP($P6,'Rd2 Winton'!$C$2:$AC$24,27,0),0)</f>
        <v>100</v>
      </c>
      <c r="H6" s="51">
        <f>_xlfn.IFERROR(VLOOKUP($P6,#REF!,27,0),0)</f>
        <v>0</v>
      </c>
      <c r="I6" s="51">
        <f>_xlfn.IFERROR(VLOOKUP($P6,#REF!,27,0),0)</f>
        <v>0</v>
      </c>
      <c r="J6" s="51">
        <f>_xlfn.IFERROR(VLOOKUP($P6,#REF!,27,0),0)</f>
        <v>0</v>
      </c>
      <c r="K6" s="51">
        <f>_xlfn.IFERROR(VLOOKUP($P6,#REF!,27,0),0)</f>
        <v>0</v>
      </c>
      <c r="L6" s="51">
        <f>_xlfn.IFERROR(VLOOKUP($P6,#REF!,27,0),0)</f>
        <v>0</v>
      </c>
      <c r="M6" s="51">
        <f>_xlfn.IFERROR(VLOOKUP($P6,#REF!,27,0),0)</f>
        <v>0</v>
      </c>
      <c r="N6" s="51">
        <f>_xlfn.IFERROR(VLOOKUP($P6,#REF!,27,0),0)</f>
        <v>0</v>
      </c>
      <c r="O6" s="328">
        <f>_xlfn.IFERROR(VLOOKUP($P6,#REF!,27,0),0)</f>
        <v>0</v>
      </c>
      <c r="P6" s="5" t="str">
        <f t="shared" si="1"/>
        <v>steve williamsz</v>
      </c>
    </row>
    <row r="7" spans="1:16" s="5" customFormat="1" ht="12.75">
      <c r="A7" s="155">
        <v>5</v>
      </c>
      <c r="B7" s="334" t="s">
        <v>113</v>
      </c>
      <c r="C7" s="102" t="s">
        <v>114</v>
      </c>
      <c r="D7" s="43" t="s">
        <v>21</v>
      </c>
      <c r="E7" s="402">
        <f t="shared" si="0"/>
        <v>150</v>
      </c>
      <c r="F7" s="43">
        <f>_xlfn.IFERROR(VLOOKUP($P7,'Rd1 PI'!$C$2:$AC$21,27,0),0)</f>
        <v>75</v>
      </c>
      <c r="G7" s="43">
        <f>_xlfn.IFERROR(VLOOKUP($P7,'Rd2 Winton'!$C$2:$AC$24,27,0),0)</f>
        <v>75</v>
      </c>
      <c r="H7" s="43">
        <f>_xlfn.IFERROR(VLOOKUP($P7,#REF!,27,0),0)</f>
        <v>0</v>
      </c>
      <c r="I7" s="43">
        <f>_xlfn.IFERROR(VLOOKUP($P7,#REF!,27,0),0)</f>
        <v>0</v>
      </c>
      <c r="J7" s="43">
        <f>_xlfn.IFERROR(VLOOKUP($P7,#REF!,27,0),0)</f>
        <v>0</v>
      </c>
      <c r="K7" s="43">
        <f>_xlfn.IFERROR(VLOOKUP($P7,#REF!,27,0),0)</f>
        <v>0</v>
      </c>
      <c r="L7" s="43">
        <f>_xlfn.IFERROR(VLOOKUP($P7,#REF!,27,0),0)</f>
        <v>0</v>
      </c>
      <c r="M7" s="43">
        <f>_xlfn.IFERROR(VLOOKUP($P7,#REF!,27,0),0)</f>
        <v>0</v>
      </c>
      <c r="N7" s="43">
        <f>_xlfn.IFERROR(VLOOKUP($P7,#REF!,27,0),0)</f>
        <v>0</v>
      </c>
      <c r="O7" s="331">
        <f>_xlfn.IFERROR(VLOOKUP($P7,#REF!,27,0),0)</f>
        <v>0</v>
      </c>
      <c r="P7" s="5" t="str">
        <f t="shared" si="1"/>
        <v>max lloyd</v>
      </c>
    </row>
    <row r="8" spans="1:16" s="5" customFormat="1" ht="12.75">
      <c r="A8" s="155">
        <v>6</v>
      </c>
      <c r="B8" s="337" t="s">
        <v>199</v>
      </c>
      <c r="C8" s="115" t="s">
        <v>200</v>
      </c>
      <c r="D8" s="69" t="s">
        <v>13</v>
      </c>
      <c r="E8" s="402">
        <f t="shared" si="0"/>
        <v>120</v>
      </c>
      <c r="F8" s="68">
        <f>_xlfn.IFERROR(VLOOKUP($P8,'Rd1 PI'!$C$2:$AC$21,27,0),0)</f>
        <v>65</v>
      </c>
      <c r="G8" s="68">
        <f>_xlfn.IFERROR(VLOOKUP($P8,'Rd2 Winton'!$C$2:$AC$24,27,0),0)</f>
        <v>55</v>
      </c>
      <c r="H8" s="68">
        <f>_xlfn.IFERROR(VLOOKUP($P8,#REF!,27,0),0)</f>
        <v>0</v>
      </c>
      <c r="I8" s="68">
        <f>_xlfn.IFERROR(VLOOKUP($P8,#REF!,27,0),0)</f>
        <v>0</v>
      </c>
      <c r="J8" s="68">
        <f>_xlfn.IFERROR(VLOOKUP($P8,#REF!,27,0),0)</f>
        <v>0</v>
      </c>
      <c r="K8" s="68">
        <f>_xlfn.IFERROR(VLOOKUP($P8,#REF!,27,0),0)</f>
        <v>0</v>
      </c>
      <c r="L8" s="68">
        <f>_xlfn.IFERROR(VLOOKUP($P8,#REF!,27,0),0)</f>
        <v>0</v>
      </c>
      <c r="M8" s="68">
        <f>_xlfn.IFERROR(VLOOKUP($P8,#REF!,27,0),0)</f>
        <v>0</v>
      </c>
      <c r="N8" s="68">
        <f>_xlfn.IFERROR(VLOOKUP($P8,#REF!,27,0),0)</f>
        <v>0</v>
      </c>
      <c r="O8" s="329">
        <f>_xlfn.IFERROR(VLOOKUP($P8,#REF!,27,0),0)</f>
        <v>0</v>
      </c>
      <c r="P8" s="5" t="str">
        <f t="shared" si="1"/>
        <v>ray monik</v>
      </c>
    </row>
    <row r="9" spans="1:16" s="5" customFormat="1" ht="12.75">
      <c r="A9" s="155">
        <v>7</v>
      </c>
      <c r="B9" s="336" t="s">
        <v>81</v>
      </c>
      <c r="C9" s="56" t="s">
        <v>66</v>
      </c>
      <c r="D9" s="48" t="s">
        <v>5</v>
      </c>
      <c r="E9" s="402">
        <f t="shared" si="0"/>
        <v>115</v>
      </c>
      <c r="F9" s="51">
        <f>_xlfn.IFERROR(VLOOKUP($P9,'Rd1 PI'!$C$2:$AC$21,27,0),0)</f>
        <v>65</v>
      </c>
      <c r="G9" s="51">
        <f>_xlfn.IFERROR(VLOOKUP($P9,'Rd2 Winton'!$C$2:$AC$24,27,0),0)</f>
        <v>50</v>
      </c>
      <c r="H9" s="51">
        <f>_xlfn.IFERROR(VLOOKUP($P9,#REF!,27,0),0)</f>
        <v>0</v>
      </c>
      <c r="I9" s="51">
        <f>_xlfn.IFERROR(VLOOKUP($P9,#REF!,27,0),0)</f>
        <v>0</v>
      </c>
      <c r="J9" s="51">
        <f>_xlfn.IFERROR(VLOOKUP($P9,#REF!,27,0),0)</f>
        <v>0</v>
      </c>
      <c r="K9" s="51">
        <f>_xlfn.IFERROR(VLOOKUP($P9,#REF!,27,0),0)</f>
        <v>0</v>
      </c>
      <c r="L9" s="51">
        <f>_xlfn.IFERROR(VLOOKUP($P9,#REF!,27,0),0)</f>
        <v>0</v>
      </c>
      <c r="M9" s="51">
        <f>_xlfn.IFERROR(VLOOKUP($P9,#REF!,27,0),0)</f>
        <v>0</v>
      </c>
      <c r="N9" s="51">
        <f>_xlfn.IFERROR(VLOOKUP($P9,#REF!,27,0),0)</f>
        <v>0</v>
      </c>
      <c r="O9" s="328">
        <f>_xlfn.IFERROR(VLOOKUP($P9,#REF!,27,0),0)</f>
        <v>0</v>
      </c>
      <c r="P9" s="5" t="str">
        <f t="shared" si="1"/>
        <v>john downes</v>
      </c>
    </row>
    <row r="10" spans="1:16" s="5" customFormat="1" ht="12.75">
      <c r="A10" s="155">
        <v>7</v>
      </c>
      <c r="B10" s="336" t="s">
        <v>33</v>
      </c>
      <c r="C10" s="56" t="s">
        <v>34</v>
      </c>
      <c r="D10" s="48" t="s">
        <v>5</v>
      </c>
      <c r="E10" s="402">
        <f t="shared" si="0"/>
        <v>115</v>
      </c>
      <c r="F10" s="51">
        <f>_xlfn.IFERROR(VLOOKUP($P10,'Rd1 PI'!$C$2:$AC$21,27,0),0)</f>
        <v>50</v>
      </c>
      <c r="G10" s="51">
        <f>_xlfn.IFERROR(VLOOKUP($P10,'Rd2 Winton'!$C$2:$AC$24,27,0),0)</f>
        <v>65</v>
      </c>
      <c r="H10" s="51">
        <f>_xlfn.IFERROR(VLOOKUP($P10,#REF!,27,0),0)</f>
        <v>0</v>
      </c>
      <c r="I10" s="51">
        <f>_xlfn.IFERROR(VLOOKUP($P10,#REF!,27,0),0)</f>
        <v>0</v>
      </c>
      <c r="J10" s="51">
        <f>_xlfn.IFERROR(VLOOKUP($P10,#REF!,27,0),0)</f>
        <v>0</v>
      </c>
      <c r="K10" s="51">
        <f>_xlfn.IFERROR(VLOOKUP($P10,#REF!,27,0),0)</f>
        <v>0</v>
      </c>
      <c r="L10" s="51">
        <f>_xlfn.IFERROR(VLOOKUP($P10,#REF!,27,0),0)</f>
        <v>0</v>
      </c>
      <c r="M10" s="51">
        <f>_xlfn.IFERROR(VLOOKUP($P10,#REF!,27,0),0)</f>
        <v>0</v>
      </c>
      <c r="N10" s="51">
        <f>_xlfn.IFERROR(VLOOKUP($P10,#REF!,27,0),0)</f>
        <v>0</v>
      </c>
      <c r="O10" s="328">
        <f>_xlfn.IFERROR(VLOOKUP($P10,#REF!,27,0),0)</f>
        <v>0</v>
      </c>
      <c r="P10" s="5" t="str">
        <f t="shared" si="1"/>
        <v>simeon ouzas</v>
      </c>
    </row>
    <row r="11" spans="1:16" s="5" customFormat="1" ht="12.75">
      <c r="A11" s="155">
        <v>9</v>
      </c>
      <c r="B11" s="397" t="s">
        <v>187</v>
      </c>
      <c r="C11" s="114" t="s">
        <v>188</v>
      </c>
      <c r="D11" s="355" t="s">
        <v>52</v>
      </c>
      <c r="E11" s="402">
        <f>SUM(F11:O11)-SMALL(F11:O11,2)-MIN(F11:O11)</f>
        <v>100</v>
      </c>
      <c r="F11" s="39">
        <f>_xlfn.IFERROR(VLOOKUP($P11,'Rd1 PI'!$C$2:$AC$21,17,0),0)</f>
        <v>0</v>
      </c>
      <c r="G11" s="39">
        <f>_xlfn.IFERROR(VLOOKUP($P11,'Rd2 Winton'!$C$2:$AC$24,27,0),0)</f>
        <v>100</v>
      </c>
      <c r="H11" s="39">
        <f>_xlfn.IFERROR(VLOOKUP($P11,#REF!,17,0),0)</f>
        <v>0</v>
      </c>
      <c r="I11" s="39">
        <f>_xlfn.IFERROR(VLOOKUP($P11,#REF!,17,0),0)</f>
        <v>0</v>
      </c>
      <c r="J11" s="39">
        <f>_xlfn.IFERROR(VLOOKUP($P11,#REF!,17,0),0)</f>
        <v>0</v>
      </c>
      <c r="K11" s="39">
        <f>_xlfn.IFERROR(VLOOKUP($P11,#REF!,17,0),0)</f>
        <v>0</v>
      </c>
      <c r="L11" s="39">
        <f>_xlfn.IFERROR(VLOOKUP($P11,#REF!,17,0),0)</f>
        <v>0</v>
      </c>
      <c r="M11" s="39">
        <f>_xlfn.IFERROR(VLOOKUP($P11,#REF!,17,0),0)</f>
        <v>0</v>
      </c>
      <c r="N11" s="39">
        <f>_xlfn.IFERROR(VLOOKUP($P11,#REF!,17,0),0)</f>
        <v>0</v>
      </c>
      <c r="O11" s="401">
        <f>_xlfn.IFERROR(VLOOKUP($P11,#REF!,17,0),0)</f>
        <v>0</v>
      </c>
      <c r="P11" s="5" t="str">
        <f t="shared" si="1"/>
        <v>randy stagno navarra</v>
      </c>
    </row>
    <row r="12" spans="1:16" s="5" customFormat="1" ht="12.75">
      <c r="A12" s="155">
        <v>10</v>
      </c>
      <c r="B12" s="461" t="s">
        <v>195</v>
      </c>
      <c r="C12" s="74" t="s">
        <v>198</v>
      </c>
      <c r="D12" s="448" t="s">
        <v>3</v>
      </c>
      <c r="E12" s="402">
        <f>SUM(F12:O12)</f>
        <v>90</v>
      </c>
      <c r="F12" s="75">
        <f>_xlfn.IFERROR(VLOOKUP($P12,'Rd1 PI'!$C$2:$AC$21,27,0),0)</f>
        <v>0</v>
      </c>
      <c r="G12" s="75">
        <f>_xlfn.IFERROR(VLOOKUP($P12,'Rd2 Winton'!$C$2:$AC$24,27,0),0)</f>
        <v>90</v>
      </c>
      <c r="H12" s="75">
        <f>_xlfn.IFERROR(VLOOKUP($P12,#REF!,27,0),0)</f>
        <v>0</v>
      </c>
      <c r="I12" s="75">
        <f>_xlfn.IFERROR(VLOOKUP($P12,#REF!,27,0),0)</f>
        <v>0</v>
      </c>
      <c r="J12" s="75">
        <f>_xlfn.IFERROR(VLOOKUP($P12,#REF!,27,0),0)</f>
        <v>0</v>
      </c>
      <c r="K12" s="75">
        <f>_xlfn.IFERROR(VLOOKUP($P12,#REF!,27,0),0)</f>
        <v>0</v>
      </c>
      <c r="L12" s="75">
        <f>_xlfn.IFERROR(VLOOKUP($P12,#REF!,27,0),0)</f>
        <v>0</v>
      </c>
      <c r="M12" s="75">
        <f>_xlfn.IFERROR(VLOOKUP($P12,#REF!,27,0),0)</f>
        <v>0</v>
      </c>
      <c r="N12" s="75">
        <f>_xlfn.IFERROR(VLOOKUP($P12,#REF!,27,0),0)</f>
        <v>0</v>
      </c>
      <c r="O12" s="462">
        <f>_xlfn.IFERROR(VLOOKUP($P12,#REF!,27,0),0)</f>
        <v>0</v>
      </c>
      <c r="P12" s="5" t="str">
        <f t="shared" si="1"/>
        <v>kutay dal</v>
      </c>
    </row>
    <row r="13" spans="1:16" s="5" customFormat="1" ht="12.75">
      <c r="A13" s="155">
        <v>11</v>
      </c>
      <c r="B13" s="339" t="s">
        <v>65</v>
      </c>
      <c r="C13" s="293" t="s">
        <v>66</v>
      </c>
      <c r="D13" s="139" t="s">
        <v>4</v>
      </c>
      <c r="E13" s="402">
        <f>SUM(F13:O13)</f>
        <v>85</v>
      </c>
      <c r="F13" s="139">
        <f>_xlfn.IFERROR(VLOOKUP($P13,'Rd1 PI'!$C$2:$AC$21,27,0),0)</f>
        <v>50</v>
      </c>
      <c r="G13" s="139">
        <f>_xlfn.IFERROR(VLOOKUP($P13,'Rd2 Winton'!$C$2:$AC$24,27,0),0)</f>
        <v>35</v>
      </c>
      <c r="H13" s="139">
        <f>_xlfn.IFERROR(VLOOKUP($P13,#REF!,27,0),0)</f>
        <v>0</v>
      </c>
      <c r="I13" s="139">
        <f>_xlfn.IFERROR(VLOOKUP($P13,#REF!,27,0),0)</f>
        <v>0</v>
      </c>
      <c r="J13" s="139">
        <f>_xlfn.IFERROR(VLOOKUP($P13,#REF!,27,0),0)</f>
        <v>0</v>
      </c>
      <c r="K13" s="139">
        <f>_xlfn.IFERROR(VLOOKUP($P13,#REF!,27,0),0)</f>
        <v>0</v>
      </c>
      <c r="L13" s="139">
        <f>_xlfn.IFERROR(VLOOKUP($P13,#REF!,27,0),0)</f>
        <v>0</v>
      </c>
      <c r="M13" s="139">
        <f>_xlfn.IFERROR(VLOOKUP($P13,#REF!,27,0),0)</f>
        <v>0</v>
      </c>
      <c r="N13" s="139">
        <f>_xlfn.IFERROR(VLOOKUP($P13,#REF!,27,0),0)</f>
        <v>0</v>
      </c>
      <c r="O13" s="333">
        <f>_xlfn.IFERROR(VLOOKUP($P13,#REF!,27,0),0)</f>
        <v>0</v>
      </c>
      <c r="P13" s="5" t="str">
        <f t="shared" si="1"/>
        <v>robert downes</v>
      </c>
    </row>
    <row r="14" spans="1:16" s="5" customFormat="1" ht="12.75">
      <c r="A14" s="155">
        <v>12</v>
      </c>
      <c r="B14" s="337" t="s">
        <v>185</v>
      </c>
      <c r="C14" s="115" t="s">
        <v>186</v>
      </c>
      <c r="D14" s="69" t="s">
        <v>13</v>
      </c>
      <c r="E14" s="402">
        <f>SUM(F14:O14)</f>
        <v>75</v>
      </c>
      <c r="F14" s="68">
        <f>_xlfn.IFERROR(VLOOKUP($P14,'Rd1 PI'!$C$2:$AC$21,27,0),0)</f>
        <v>0</v>
      </c>
      <c r="G14" s="68">
        <f>_xlfn.IFERROR(VLOOKUP($P14,'Rd2 Winton'!$C$2:$AC$24,27,0),0)</f>
        <v>75</v>
      </c>
      <c r="H14" s="68">
        <f>_xlfn.IFERROR(VLOOKUP($P14,#REF!,27,0),0)</f>
        <v>0</v>
      </c>
      <c r="I14" s="68">
        <f>_xlfn.IFERROR(VLOOKUP($P14,#REF!,27,0),0)</f>
        <v>0</v>
      </c>
      <c r="J14" s="68">
        <f>_xlfn.IFERROR(VLOOKUP($P14,#REF!,27,0),0)</f>
        <v>0</v>
      </c>
      <c r="K14" s="68">
        <f>_xlfn.IFERROR(VLOOKUP($P14,#REF!,27,0),0)</f>
        <v>0</v>
      </c>
      <c r="L14" s="68">
        <f>_xlfn.IFERROR(VLOOKUP($P14,#REF!,27,0),0)</f>
        <v>0</v>
      </c>
      <c r="M14" s="68">
        <f>_xlfn.IFERROR(VLOOKUP($P14,#REF!,27,0),0)</f>
        <v>0</v>
      </c>
      <c r="N14" s="68">
        <f>_xlfn.IFERROR(VLOOKUP($P14,#REF!,27,0),0)</f>
        <v>0</v>
      </c>
      <c r="O14" s="329">
        <f>_xlfn.IFERROR(VLOOKUP($P14,#REF!,27,0),0)</f>
        <v>0</v>
      </c>
      <c r="P14" s="5" t="str">
        <f t="shared" si="1"/>
        <v>paul ledwith</v>
      </c>
    </row>
    <row r="15" spans="1:16" s="5" customFormat="1" ht="12.75">
      <c r="A15" s="155">
        <v>12</v>
      </c>
      <c r="B15" s="397" t="s">
        <v>189</v>
      </c>
      <c r="C15" s="114" t="s">
        <v>190</v>
      </c>
      <c r="D15" s="355" t="s">
        <v>52</v>
      </c>
      <c r="E15" s="402">
        <f>SUM(F15:O15)-SMALL(F15:O15,2)-MIN(F15:O15)</f>
        <v>75</v>
      </c>
      <c r="F15" s="39">
        <f>_xlfn.IFERROR(VLOOKUP($P15,'Rd1 PI'!$C$2:$AC$21,17,0),0)</f>
        <v>0</v>
      </c>
      <c r="G15" s="39">
        <f>_xlfn.IFERROR(VLOOKUP($P15,'Rd2 Winton'!$C$2:$AC$24,27,0),0)</f>
        <v>75</v>
      </c>
      <c r="H15" s="39">
        <f>_xlfn.IFERROR(VLOOKUP($P15,#REF!,17,0),0)</f>
        <v>0</v>
      </c>
      <c r="I15" s="39">
        <f>_xlfn.IFERROR(VLOOKUP($P15,#REF!,17,0),0)</f>
        <v>0</v>
      </c>
      <c r="J15" s="39">
        <f>_xlfn.IFERROR(VLOOKUP($P15,#REF!,17,0),0)</f>
        <v>0</v>
      </c>
      <c r="K15" s="39">
        <f>_xlfn.IFERROR(VLOOKUP($P15,#REF!,17,0),0)</f>
        <v>0</v>
      </c>
      <c r="L15" s="39">
        <f>_xlfn.IFERROR(VLOOKUP($P15,#REF!,17,0),0)</f>
        <v>0</v>
      </c>
      <c r="M15" s="39">
        <f>_xlfn.IFERROR(VLOOKUP($P15,#REF!,17,0),0)</f>
        <v>0</v>
      </c>
      <c r="N15" s="39">
        <f>_xlfn.IFERROR(VLOOKUP($P15,#REF!,17,0),0)</f>
        <v>0</v>
      </c>
      <c r="O15" s="401">
        <f>_xlfn.IFERROR(VLOOKUP($P15,#REF!,17,0),0)</f>
        <v>0</v>
      </c>
      <c r="P15" s="5" t="str">
        <f t="shared" si="1"/>
        <v>alan conrad</v>
      </c>
    </row>
    <row r="16" spans="1:16" s="5" customFormat="1" ht="12.75">
      <c r="A16" s="155">
        <v>14</v>
      </c>
      <c r="B16" s="337" t="s">
        <v>29</v>
      </c>
      <c r="C16" s="115" t="s">
        <v>30</v>
      </c>
      <c r="D16" s="69" t="s">
        <v>13</v>
      </c>
      <c r="E16" s="402">
        <f aca="true" t="shared" si="2" ref="E16:E22">SUM(F16:O16)</f>
        <v>70</v>
      </c>
      <c r="F16" s="68">
        <f>_xlfn.IFERROR(VLOOKUP($P16,'Rd1 PI'!$C$2:$AC$21,27,0),0)</f>
        <v>50</v>
      </c>
      <c r="G16" s="68">
        <f>_xlfn.IFERROR(VLOOKUP($P16,'Rd2 Winton'!$C$2:$AC$24,27,0),0)</f>
        <v>20</v>
      </c>
      <c r="H16" s="68">
        <f>_xlfn.IFERROR(VLOOKUP($P16,#REF!,27,0),0)</f>
        <v>0</v>
      </c>
      <c r="I16" s="68">
        <f>_xlfn.IFERROR(VLOOKUP($P16,#REF!,27,0),0)</f>
        <v>0</v>
      </c>
      <c r="J16" s="68">
        <f>_xlfn.IFERROR(VLOOKUP($P16,#REF!,27,0),0)</f>
        <v>0</v>
      </c>
      <c r="K16" s="68">
        <f>_xlfn.IFERROR(VLOOKUP($P16,#REF!,27,0),0)</f>
        <v>0</v>
      </c>
      <c r="L16" s="68">
        <f>_xlfn.IFERROR(VLOOKUP($P16,#REF!,27,0),0)</f>
        <v>0</v>
      </c>
      <c r="M16" s="68">
        <f>_xlfn.IFERROR(VLOOKUP($P16,#REF!,27,0),0)</f>
        <v>0</v>
      </c>
      <c r="N16" s="68">
        <f>_xlfn.IFERROR(VLOOKUP($P16,#REF!,27,0),0)</f>
        <v>0</v>
      </c>
      <c r="O16" s="329">
        <f>_xlfn.IFERROR(VLOOKUP($P16,#REF!,27,0),0)</f>
        <v>0</v>
      </c>
      <c r="P16" s="5" t="str">
        <f t="shared" si="1"/>
        <v>tim meaden</v>
      </c>
    </row>
    <row r="17" spans="1:16" s="5" customFormat="1" ht="12.75">
      <c r="A17" s="155">
        <v>14</v>
      </c>
      <c r="B17" s="338" t="s">
        <v>183</v>
      </c>
      <c r="C17" s="175" t="s">
        <v>184</v>
      </c>
      <c r="D17" s="125" t="s">
        <v>16</v>
      </c>
      <c r="E17" s="402">
        <f t="shared" si="2"/>
        <v>70</v>
      </c>
      <c r="F17" s="125">
        <f>_xlfn.IFERROR(VLOOKUP($P17,'Rd1 PI'!$C$2:$AC$21,27,0),0)</f>
        <v>0</v>
      </c>
      <c r="G17" s="125">
        <f>_xlfn.IFERROR(VLOOKUP($P17,'Rd2 Winton'!$C$2:$AC$24,27,0),0)</f>
        <v>70</v>
      </c>
      <c r="H17" s="125">
        <f>_xlfn.IFERROR(VLOOKUP($P17,#REF!,27,0),0)</f>
        <v>0</v>
      </c>
      <c r="I17" s="125">
        <f>_xlfn.IFERROR(VLOOKUP($P17,#REF!,27,0),0)</f>
        <v>0</v>
      </c>
      <c r="J17" s="125">
        <f>_xlfn.IFERROR(VLOOKUP($P17,#REF!,27,0),0)</f>
        <v>0</v>
      </c>
      <c r="K17" s="125">
        <f>_xlfn.IFERROR(VLOOKUP($P17,#REF!,27,0),0)</f>
        <v>0</v>
      </c>
      <c r="L17" s="125">
        <f>_xlfn.IFERROR(VLOOKUP($P17,#REF!,27,0),0)</f>
        <v>0</v>
      </c>
      <c r="M17" s="125">
        <f>_xlfn.IFERROR(VLOOKUP($P17,#REF!,27,0),0)</f>
        <v>0</v>
      </c>
      <c r="N17" s="125">
        <f>_xlfn.IFERROR(VLOOKUP($P17,#REF!,27,0),0)</f>
        <v>0</v>
      </c>
      <c r="O17" s="332">
        <f>_xlfn.IFERROR(VLOOKUP($P17,#REF!,27,0),0)</f>
        <v>0</v>
      </c>
      <c r="P17" s="5" t="str">
        <f t="shared" si="1"/>
        <v>dean watchorn</v>
      </c>
    </row>
    <row r="18" spans="1:16" s="5" customFormat="1" ht="12.75">
      <c r="A18" s="155">
        <v>14</v>
      </c>
      <c r="B18" s="336" t="s">
        <v>147</v>
      </c>
      <c r="C18" s="47" t="s">
        <v>148</v>
      </c>
      <c r="D18" s="48" t="s">
        <v>5</v>
      </c>
      <c r="E18" s="402">
        <f t="shared" si="2"/>
        <v>70</v>
      </c>
      <c r="F18" s="51">
        <f>_xlfn.IFERROR(VLOOKUP($P18,'Rd1 PI'!$C$2:$AC$21,27,0),0)</f>
        <v>35</v>
      </c>
      <c r="G18" s="51">
        <f>_xlfn.IFERROR(VLOOKUP($P18,'Rd2 Winton'!$C$2:$AC$24,27,0),0)</f>
        <v>35</v>
      </c>
      <c r="H18" s="51">
        <f>_xlfn.IFERROR(VLOOKUP($P18,#REF!,27,0),0)</f>
        <v>0</v>
      </c>
      <c r="I18" s="51">
        <f>_xlfn.IFERROR(VLOOKUP($P18,#REF!,27,0),0)</f>
        <v>0</v>
      </c>
      <c r="J18" s="51">
        <f>_xlfn.IFERROR(VLOOKUP($P18,#REF!,27,0),0)</f>
        <v>0</v>
      </c>
      <c r="K18" s="51">
        <f>_xlfn.IFERROR(VLOOKUP($P18,#REF!,27,0),0)</f>
        <v>0</v>
      </c>
      <c r="L18" s="51">
        <f>_xlfn.IFERROR(VLOOKUP($P18,#REF!,27,0),0)</f>
        <v>0</v>
      </c>
      <c r="M18" s="51">
        <f>_xlfn.IFERROR(VLOOKUP($P18,#REF!,27,0),0)</f>
        <v>0</v>
      </c>
      <c r="N18" s="51">
        <f>_xlfn.IFERROR(VLOOKUP($P18,#REF!,27,0),0)</f>
        <v>0</v>
      </c>
      <c r="O18" s="328">
        <f>_xlfn.IFERROR(VLOOKUP($P18,#REF!,27,0),0)</f>
        <v>0</v>
      </c>
      <c r="P18" s="5" t="str">
        <f t="shared" si="1"/>
        <v>matthew cavell</v>
      </c>
    </row>
    <row r="19" spans="1:16" s="5" customFormat="1" ht="12.75">
      <c r="A19" s="155">
        <v>17</v>
      </c>
      <c r="B19" s="334" t="s">
        <v>62</v>
      </c>
      <c r="C19" s="102" t="s">
        <v>59</v>
      </c>
      <c r="D19" s="36" t="s">
        <v>21</v>
      </c>
      <c r="E19" s="402">
        <f t="shared" si="2"/>
        <v>50</v>
      </c>
      <c r="F19" s="43">
        <f>_xlfn.IFERROR(VLOOKUP($P19,'Rd1 PI'!$C$2:$AC$21,27,0),0)</f>
        <v>50</v>
      </c>
      <c r="G19" s="43">
        <f>_xlfn.IFERROR(VLOOKUP($P19,'Rd2 Winton'!$C$2:$AC$24,27,0),0)</f>
        <v>0</v>
      </c>
      <c r="H19" s="43">
        <f>_xlfn.IFERROR(VLOOKUP($P19,#REF!,27,0),0)</f>
        <v>0</v>
      </c>
      <c r="I19" s="43">
        <f>_xlfn.IFERROR(VLOOKUP($P19,#REF!,27,0),0)</f>
        <v>0</v>
      </c>
      <c r="J19" s="43">
        <f>_xlfn.IFERROR(VLOOKUP($P19,#REF!,27,0),0)</f>
        <v>0</v>
      </c>
      <c r="K19" s="43">
        <f>_xlfn.IFERROR(VLOOKUP($P19,#REF!,27,0),0)</f>
        <v>0</v>
      </c>
      <c r="L19" s="43">
        <f>_xlfn.IFERROR(VLOOKUP($P19,#REF!,27,0),0)</f>
        <v>0</v>
      </c>
      <c r="M19" s="43">
        <f>_xlfn.IFERROR(VLOOKUP($P19,#REF!,27,0),0)</f>
        <v>0</v>
      </c>
      <c r="N19" s="43">
        <f>_xlfn.IFERROR(VLOOKUP($P19,#REF!,27,0),0)</f>
        <v>0</v>
      </c>
      <c r="O19" s="331">
        <f>_xlfn.IFERROR(VLOOKUP($P19,#REF!,27,0),0)</f>
        <v>0</v>
      </c>
      <c r="P19" s="5" t="str">
        <f t="shared" si="1"/>
        <v>gareth pedley</v>
      </c>
    </row>
    <row r="20" spans="1:16" s="5" customFormat="1" ht="12.75">
      <c r="A20" s="155">
        <v>18</v>
      </c>
      <c r="B20" s="335" t="s">
        <v>81</v>
      </c>
      <c r="C20" s="161" t="s">
        <v>146</v>
      </c>
      <c r="D20" s="50" t="s">
        <v>14</v>
      </c>
      <c r="E20" s="402">
        <f t="shared" si="2"/>
        <v>35</v>
      </c>
      <c r="F20" s="57">
        <f>_xlfn.IFERROR(VLOOKUP($P20,'Rd1 PI'!$C$2:$AC$21,27,0),0)</f>
        <v>35</v>
      </c>
      <c r="G20" s="57">
        <f>_xlfn.IFERROR(VLOOKUP($P20,'Rd2 Winton'!$C$2:$AC$24,27,0),0)</f>
        <v>0</v>
      </c>
      <c r="H20" s="57">
        <f>_xlfn.IFERROR(VLOOKUP($P20,#REF!,27,0),0)</f>
        <v>0</v>
      </c>
      <c r="I20" s="57">
        <f>_xlfn.IFERROR(VLOOKUP($P20,#REF!,27,0),0)</f>
        <v>0</v>
      </c>
      <c r="J20" s="57">
        <f>_xlfn.IFERROR(VLOOKUP($P20,#REF!,27,0),0)</f>
        <v>0</v>
      </c>
      <c r="K20" s="57">
        <f>_xlfn.IFERROR(VLOOKUP($P20,#REF!,27,0),0)</f>
        <v>0</v>
      </c>
      <c r="L20" s="57">
        <f>_xlfn.IFERROR(VLOOKUP($P20,#REF!,27,0),0)</f>
        <v>0</v>
      </c>
      <c r="M20" s="57">
        <f>_xlfn.IFERROR(VLOOKUP($P20,#REF!,27,0),0)</f>
        <v>0</v>
      </c>
      <c r="N20" s="57">
        <f>_xlfn.IFERROR(VLOOKUP($P20,#REF!,27,0),0)</f>
        <v>0</v>
      </c>
      <c r="O20" s="330">
        <f>_xlfn.IFERROR(VLOOKUP($P20,#REF!,27,0),0)</f>
        <v>0</v>
      </c>
      <c r="P20" s="5" t="str">
        <f t="shared" si="1"/>
        <v>john vaughan</v>
      </c>
    </row>
    <row r="21" spans="1:16" s="5" customFormat="1" ht="12.75">
      <c r="A21" s="155">
        <v>18</v>
      </c>
      <c r="B21" s="381" t="s">
        <v>191</v>
      </c>
      <c r="C21" s="165" t="s">
        <v>192</v>
      </c>
      <c r="D21" s="132" t="s">
        <v>50</v>
      </c>
      <c r="E21" s="402">
        <f t="shared" si="2"/>
        <v>35</v>
      </c>
      <c r="F21" s="132">
        <f>_xlfn.IFERROR(VLOOKUP($P21,'Rd1 PI'!$C$2:$AC$21,27,0),0)</f>
        <v>0</v>
      </c>
      <c r="G21" s="132">
        <f>_xlfn.IFERROR(VLOOKUP($P21,'Rd2 Winton'!$C$2:$AC$24,27,0),0)</f>
        <v>35</v>
      </c>
      <c r="H21" s="132">
        <f>_xlfn.IFERROR(VLOOKUP($P21,#REF!,27,0),0)</f>
        <v>0</v>
      </c>
      <c r="I21" s="132">
        <f>_xlfn.IFERROR(VLOOKUP($P21,#REF!,27,0),0)</f>
        <v>0</v>
      </c>
      <c r="J21" s="132">
        <f>_xlfn.IFERROR(VLOOKUP($P21,#REF!,27,0),0)</f>
        <v>0</v>
      </c>
      <c r="K21" s="132">
        <f>_xlfn.IFERROR(VLOOKUP($P21,#REF!,27,0),0)</f>
        <v>0</v>
      </c>
      <c r="L21" s="132">
        <f>_xlfn.IFERROR(VLOOKUP($P21,#REF!,27,0),0)</f>
        <v>0</v>
      </c>
      <c r="M21" s="132">
        <f>_xlfn.IFERROR(VLOOKUP($P21,#REF!,27,0),0)</f>
        <v>0</v>
      </c>
      <c r="N21" s="132">
        <f>_xlfn.IFERROR(VLOOKUP($P21,#REF!,27,0),0)</f>
        <v>0</v>
      </c>
      <c r="O21" s="380">
        <f>_xlfn.IFERROR(VLOOKUP($P21,#REF!,27,0),0)</f>
        <v>0</v>
      </c>
      <c r="P21" s="5" t="str">
        <f t="shared" si="1"/>
        <v>david adam</v>
      </c>
    </row>
    <row r="22" spans="1:16" s="5" customFormat="1" ht="13.5" thickBot="1">
      <c r="A22" s="155">
        <v>20</v>
      </c>
      <c r="B22" s="396" t="s">
        <v>193</v>
      </c>
      <c r="C22" s="398" t="s">
        <v>194</v>
      </c>
      <c r="D22" s="399" t="s">
        <v>4</v>
      </c>
      <c r="E22" s="464">
        <f t="shared" si="2"/>
        <v>5</v>
      </c>
      <c r="F22" s="399">
        <f>_xlfn.IFERROR(VLOOKUP($P22,'Rd1 PI'!$C$2:$AC$21,27,0),0)</f>
        <v>0</v>
      </c>
      <c r="G22" s="399">
        <f>_xlfn.IFERROR(VLOOKUP($P22,'Rd2 Winton'!$C$2:$AC$21,27,0),0)</f>
        <v>5</v>
      </c>
      <c r="H22" s="399">
        <f>_xlfn.IFERROR(VLOOKUP($P22,#REF!,27,0),0)</f>
        <v>0</v>
      </c>
      <c r="I22" s="399">
        <f>_xlfn.IFERROR(VLOOKUP($P22,#REF!,27,0),0)</f>
        <v>0</v>
      </c>
      <c r="J22" s="399">
        <f>_xlfn.IFERROR(VLOOKUP($P22,#REF!,27,0),0)</f>
        <v>0</v>
      </c>
      <c r="K22" s="399">
        <f>_xlfn.IFERROR(VLOOKUP($P22,#REF!,27,0),0)</f>
        <v>0</v>
      </c>
      <c r="L22" s="399">
        <f>_xlfn.IFERROR(VLOOKUP($P22,#REF!,27,0),0)</f>
        <v>0</v>
      </c>
      <c r="M22" s="399">
        <f>_xlfn.IFERROR(VLOOKUP($P22,#REF!,27,0),0)</f>
        <v>0</v>
      </c>
      <c r="N22" s="399">
        <f>_xlfn.IFERROR(VLOOKUP($P22,#REF!,27,0),0)</f>
        <v>0</v>
      </c>
      <c r="O22" s="400">
        <f>_xlfn.IFERROR(VLOOKUP($P22,#REF!,27,0),0)</f>
        <v>0</v>
      </c>
      <c r="P22" s="5" t="str">
        <f t="shared" si="1"/>
        <v>ian vague</v>
      </c>
    </row>
    <row r="23" spans="1:17" ht="12.75">
      <c r="A23" s="3"/>
      <c r="B23" s="9"/>
      <c r="C23" s="9"/>
      <c r="D23" s="12"/>
      <c r="E23" s="12"/>
      <c r="F23" s="5"/>
      <c r="G23" s="5"/>
      <c r="H23" s="5"/>
      <c r="I23" s="5"/>
      <c r="J23" s="5"/>
      <c r="K23" s="5"/>
      <c r="L23" s="5"/>
      <c r="M23" s="5"/>
      <c r="N23" s="5"/>
      <c r="O23" s="5"/>
      <c r="P23" s="14"/>
      <c r="Q23" s="15"/>
    </row>
    <row r="24" spans="1:17" ht="15.75">
      <c r="A24" s="10" t="s">
        <v>6</v>
      </c>
      <c r="B24" s="6"/>
      <c r="C24" s="6"/>
      <c r="D24" s="17"/>
      <c r="E24" s="24"/>
      <c r="F24" s="12"/>
      <c r="G24" s="12"/>
      <c r="H24" s="12"/>
      <c r="I24" s="12"/>
      <c r="J24" s="12"/>
      <c r="K24" s="12"/>
      <c r="L24" s="12"/>
      <c r="M24" s="12"/>
      <c r="N24" s="12"/>
      <c r="O24" s="12"/>
      <c r="P24" s="14"/>
      <c r="Q24" s="15"/>
    </row>
    <row r="25" spans="1:17" ht="12.75">
      <c r="A25" s="16"/>
      <c r="B25" s="6"/>
      <c r="C25" s="6"/>
      <c r="D25" s="17"/>
      <c r="E25" s="24"/>
      <c r="F25" s="12"/>
      <c r="G25" s="12"/>
      <c r="H25" s="12"/>
      <c r="I25" s="12"/>
      <c r="J25" s="12"/>
      <c r="K25" s="12"/>
      <c r="L25" s="12"/>
      <c r="M25" s="12"/>
      <c r="N25" s="12"/>
      <c r="O25" s="12"/>
      <c r="P25" s="14"/>
      <c r="Q25" s="15"/>
    </row>
    <row r="26" spans="1:15" s="5" customFormat="1" ht="13.5" thickBot="1">
      <c r="A26" s="76" t="s">
        <v>7</v>
      </c>
      <c r="B26" s="77"/>
      <c r="C26" s="77"/>
      <c r="D26" s="7"/>
      <c r="E26" s="24"/>
      <c r="F26" s="12"/>
      <c r="G26" s="12"/>
      <c r="H26" s="12"/>
      <c r="I26" s="12"/>
      <c r="J26" s="12"/>
      <c r="K26" s="12"/>
      <c r="L26" s="12"/>
      <c r="M26" s="12"/>
      <c r="N26" s="12"/>
      <c r="O26" s="12"/>
    </row>
    <row r="27" spans="1:16" s="5" customFormat="1" ht="12.75">
      <c r="A27" s="78">
        <v>1</v>
      </c>
      <c r="B27" s="382" t="s">
        <v>195</v>
      </c>
      <c r="C27" s="382" t="s">
        <v>196</v>
      </c>
      <c r="D27" s="81" t="s">
        <v>3</v>
      </c>
      <c r="E27" s="84">
        <f>SUM(F27:O27)-SMALL(F27:O27,2)-MIN(F27:O27)</f>
        <v>100</v>
      </c>
      <c r="F27" s="291">
        <f>_xlfn.IFERROR(VLOOKUP($P27,'Rd1 PI'!$C$2:$AC$21,17,0),0)</f>
        <v>0</v>
      </c>
      <c r="G27" s="75">
        <f>_xlfn.IFERROR(VLOOKUP($P27,'Rd2 Winton'!$C$2:$AC$24,17,0),0)</f>
        <v>100</v>
      </c>
      <c r="H27" s="75">
        <f>_xlfn.IFERROR(VLOOKUP($P27,#REF!,17,0),0)</f>
        <v>0</v>
      </c>
      <c r="I27" s="75">
        <f>_xlfn.IFERROR(VLOOKUP($P27,#REF!,17,0),0)</f>
        <v>0</v>
      </c>
      <c r="J27" s="75">
        <f>_xlfn.IFERROR(VLOOKUP($P27,#REF!,17,0),0)</f>
        <v>0</v>
      </c>
      <c r="K27" s="75">
        <f>_xlfn.IFERROR(VLOOKUP($P27,#REF!,17,0),0)</f>
        <v>0</v>
      </c>
      <c r="L27" s="75">
        <f>_xlfn.IFERROR(VLOOKUP($P27,#REF!,17,0),0)</f>
        <v>0</v>
      </c>
      <c r="M27" s="75">
        <f>_xlfn.IFERROR(VLOOKUP($P27,#REF!,17,0),0)</f>
        <v>0</v>
      </c>
      <c r="N27" s="75">
        <f>_xlfn.IFERROR(VLOOKUP($P27,#REF!,17,0),0)</f>
        <v>0</v>
      </c>
      <c r="O27" s="75">
        <f>_xlfn.IFERROR(VLOOKUP($P27,#REF!,17,0),0)</f>
        <v>0</v>
      </c>
      <c r="P27" s="5" t="str">
        <f>CONCATENATE(LOWER(B27)," ",LOWER(C27))</f>
        <v>kutay dal</v>
      </c>
    </row>
    <row r="28" spans="1:16" s="5" customFormat="1" ht="12.75">
      <c r="A28" s="78">
        <v>2</v>
      </c>
      <c r="B28" s="79"/>
      <c r="C28" s="79"/>
      <c r="D28" s="81" t="s">
        <v>3</v>
      </c>
      <c r="E28" s="85">
        <f>SUM(F28:O28)-SMALL(F28:O28,2)-MIN(F28:O28)</f>
        <v>0</v>
      </c>
      <c r="F28" s="291">
        <f>_xlfn.IFERROR(VLOOKUP($P28,'Rd1 PI'!$C$2:$AC$21,17,0),0)</f>
        <v>0</v>
      </c>
      <c r="G28" s="75">
        <f>_xlfn.IFERROR(VLOOKUP($P28,'Rd2 Winton'!$C$2:$AC$24,17,0),0)</f>
        <v>0</v>
      </c>
      <c r="H28" s="75">
        <f>_xlfn.IFERROR(VLOOKUP($P28,#REF!,17,0),0)</f>
        <v>0</v>
      </c>
      <c r="I28" s="75">
        <f>_xlfn.IFERROR(VLOOKUP($P28,#REF!,17,0),0)</f>
        <v>0</v>
      </c>
      <c r="J28" s="75">
        <f>_xlfn.IFERROR(VLOOKUP($P28,#REF!,17,0),0)</f>
        <v>0</v>
      </c>
      <c r="K28" s="75">
        <f>_xlfn.IFERROR(VLOOKUP($P28,#REF!,17,0),0)</f>
        <v>0</v>
      </c>
      <c r="L28" s="75">
        <f>_xlfn.IFERROR(VLOOKUP($P28,#REF!,17,0),0)</f>
        <v>0</v>
      </c>
      <c r="M28" s="75">
        <f>_xlfn.IFERROR(VLOOKUP($P28,#REF!,17,0),0)</f>
        <v>0</v>
      </c>
      <c r="N28" s="75">
        <f>_xlfn.IFERROR(VLOOKUP($P28,#REF!,17,0),0)</f>
        <v>0</v>
      </c>
      <c r="O28" s="75">
        <f>_xlfn.IFERROR(VLOOKUP($P28,#REF!,17,0),0)</f>
        <v>0</v>
      </c>
      <c r="P28" s="5" t="str">
        <f>CONCATENATE(LOWER(B28)," ",LOWER(C28))</f>
        <v> </v>
      </c>
    </row>
    <row r="29" spans="1:16" s="5" customFormat="1" ht="12.75">
      <c r="A29" s="78">
        <v>3</v>
      </c>
      <c r="B29" s="79"/>
      <c r="C29" s="79"/>
      <c r="D29" s="81" t="s">
        <v>3</v>
      </c>
      <c r="E29" s="85">
        <f>SUM(F29:O29)-SMALL(F29:O29,2)-MIN(F29:O29)</f>
        <v>0</v>
      </c>
      <c r="F29" s="291">
        <f>_xlfn.IFERROR(VLOOKUP($P29,'Rd1 PI'!$C$2:$AC$21,17,0),0)</f>
        <v>0</v>
      </c>
      <c r="G29" s="75">
        <f>_xlfn.IFERROR(VLOOKUP($P29,'Rd2 Winton'!$C$2:$AC$24,17,0),0)</f>
        <v>0</v>
      </c>
      <c r="H29" s="75">
        <f>_xlfn.IFERROR(VLOOKUP($P29,#REF!,17,0),0)</f>
        <v>0</v>
      </c>
      <c r="I29" s="75">
        <f>_xlfn.IFERROR(VLOOKUP($P29,#REF!,17,0),0)</f>
        <v>0</v>
      </c>
      <c r="J29" s="75">
        <f>_xlfn.IFERROR(VLOOKUP($P29,#REF!,17,0),0)</f>
        <v>0</v>
      </c>
      <c r="K29" s="75">
        <f>_xlfn.IFERROR(VLOOKUP($P29,#REF!,17,0),0)</f>
        <v>0</v>
      </c>
      <c r="L29" s="75">
        <f>_xlfn.IFERROR(VLOOKUP($P29,#REF!,17,0),0)</f>
        <v>0</v>
      </c>
      <c r="M29" s="75">
        <f>_xlfn.IFERROR(VLOOKUP($P29,#REF!,17,0),0)</f>
        <v>0</v>
      </c>
      <c r="N29" s="75">
        <f>_xlfn.IFERROR(VLOOKUP($P29,#REF!,17,0),0)</f>
        <v>0</v>
      </c>
      <c r="O29" s="75">
        <f>_xlfn.IFERROR(VLOOKUP($P29,#REF!,17,0),0)</f>
        <v>0</v>
      </c>
      <c r="P29" s="5" t="str">
        <f>CONCATENATE(LOWER(B29)," ",LOWER(C29))</f>
        <v> </v>
      </c>
    </row>
    <row r="30" spans="1:17" ht="12.75">
      <c r="A30" s="78">
        <v>4</v>
      </c>
      <c r="B30" s="79"/>
      <c r="C30" s="79"/>
      <c r="D30" s="81" t="s">
        <v>3</v>
      </c>
      <c r="E30" s="85">
        <f>SUM(F30:O30)-SMALL(F30:O30,2)-MIN(F30:O30)</f>
        <v>0</v>
      </c>
      <c r="F30" s="291">
        <f>_xlfn.IFERROR(VLOOKUP($P30,'Rd1 PI'!$C$2:$AC$21,17,0),0)</f>
        <v>0</v>
      </c>
      <c r="G30" s="75">
        <f>_xlfn.IFERROR(VLOOKUP($P30,'Rd2 Winton'!$C$2:$AC$24,17,0),0)</f>
        <v>0</v>
      </c>
      <c r="H30" s="75">
        <f>_xlfn.IFERROR(VLOOKUP($P30,#REF!,17,0),0)</f>
        <v>0</v>
      </c>
      <c r="I30" s="75">
        <f>_xlfn.IFERROR(VLOOKUP($P30,#REF!,17,0),0)</f>
        <v>0</v>
      </c>
      <c r="J30" s="75">
        <f>_xlfn.IFERROR(VLOOKUP($P30,#REF!,17,0),0)</f>
        <v>0</v>
      </c>
      <c r="K30" s="75">
        <f>_xlfn.IFERROR(VLOOKUP($P30,#REF!,17,0),0)</f>
        <v>0</v>
      </c>
      <c r="L30" s="75">
        <f>_xlfn.IFERROR(VLOOKUP($P30,#REF!,17,0),0)</f>
        <v>0</v>
      </c>
      <c r="M30" s="75">
        <f>_xlfn.IFERROR(VLOOKUP($P30,#REF!,17,0),0)</f>
        <v>0</v>
      </c>
      <c r="N30" s="75">
        <f>_xlfn.IFERROR(VLOOKUP($P30,#REF!,17,0),0)</f>
        <v>0</v>
      </c>
      <c r="O30" s="75">
        <f>_xlfn.IFERROR(VLOOKUP($P30,#REF!,17,0),0)</f>
        <v>0</v>
      </c>
      <c r="P30" s="5" t="str">
        <f>CONCATENATE(LOWER(B30)," ",LOWER(C30))</f>
        <v> </v>
      </c>
      <c r="Q30" s="15"/>
    </row>
    <row r="31" spans="1:17" ht="13.5" thickBot="1">
      <c r="A31" s="80">
        <v>5</v>
      </c>
      <c r="B31" s="74"/>
      <c r="C31" s="74"/>
      <c r="D31" s="81" t="s">
        <v>3</v>
      </c>
      <c r="E31" s="86">
        <f>SUM(F31:O31)-SMALL(F31:O31,2)-MIN(F31:O31)</f>
        <v>0</v>
      </c>
      <c r="F31" s="291">
        <f>_xlfn.IFERROR(VLOOKUP($P31,'Rd1 PI'!$C$2:$AC$21,17,0),0)</f>
        <v>0</v>
      </c>
      <c r="G31" s="75">
        <f>_xlfn.IFERROR(VLOOKUP($P31,'Rd2 Winton'!$C$2:$AC$24,17,0),0)</f>
        <v>0</v>
      </c>
      <c r="H31" s="75">
        <f>_xlfn.IFERROR(VLOOKUP($P31,#REF!,17,0),0)</f>
        <v>0</v>
      </c>
      <c r="I31" s="75">
        <f>_xlfn.IFERROR(VLOOKUP($P31,#REF!,17,0),0)</f>
        <v>0</v>
      </c>
      <c r="J31" s="75">
        <f>_xlfn.IFERROR(VLOOKUP($P31,#REF!,17,0),0)</f>
        <v>0</v>
      </c>
      <c r="K31" s="75">
        <f>_xlfn.IFERROR(VLOOKUP($P31,#REF!,17,0),0)</f>
        <v>0</v>
      </c>
      <c r="L31" s="75">
        <f>_xlfn.IFERROR(VLOOKUP($P31,#REF!,17,0),0)</f>
        <v>0</v>
      </c>
      <c r="M31" s="75">
        <f>_xlfn.IFERROR(VLOOKUP($P31,#REF!,17,0),0)</f>
        <v>0</v>
      </c>
      <c r="N31" s="75">
        <f>_xlfn.IFERROR(VLOOKUP($P31,#REF!,17,0),0)</f>
        <v>0</v>
      </c>
      <c r="O31" s="75">
        <f>_xlfn.IFERROR(VLOOKUP($P31,#REF!,17,0),0)</f>
        <v>0</v>
      </c>
      <c r="P31" s="5" t="str">
        <f>CONCATENATE(LOWER(B31)," ",LOWER(C31))</f>
        <v> </v>
      </c>
      <c r="Q31" s="15"/>
    </row>
    <row r="32" spans="2:17" ht="12.75">
      <c r="B32" s="6"/>
      <c r="C32" s="6"/>
      <c r="D32" s="17"/>
      <c r="E32" s="24"/>
      <c r="F32" s="4"/>
      <c r="G32" s="4"/>
      <c r="H32" s="12"/>
      <c r="I32" s="12"/>
      <c r="J32" s="12"/>
      <c r="K32" s="12"/>
      <c r="L32" s="4"/>
      <c r="M32" s="4"/>
      <c r="N32" s="4"/>
      <c r="O32" s="4"/>
      <c r="P32" s="14"/>
      <c r="Q32" s="15"/>
    </row>
    <row r="33" spans="1:15" s="5" customFormat="1" ht="13.5" thickBot="1">
      <c r="A33" s="53" t="s">
        <v>8</v>
      </c>
      <c r="B33" s="54"/>
      <c r="C33" s="54"/>
      <c r="D33" s="7"/>
      <c r="E33" s="24"/>
      <c r="F33" s="4"/>
      <c r="G33" s="4"/>
      <c r="H33" s="12"/>
      <c r="I33" s="12"/>
      <c r="J33" s="12"/>
      <c r="K33" s="12"/>
      <c r="L33" s="4"/>
      <c r="M33" s="4"/>
      <c r="N33" s="4"/>
      <c r="O33" s="4"/>
    </row>
    <row r="34" spans="1:16" s="5" customFormat="1" ht="12.75">
      <c r="A34" s="55">
        <v>1</v>
      </c>
      <c r="B34" s="56" t="s">
        <v>57</v>
      </c>
      <c r="C34" s="56" t="s">
        <v>58</v>
      </c>
      <c r="D34" s="52" t="s">
        <v>5</v>
      </c>
      <c r="E34" s="87">
        <f aca="true" t="shared" si="3" ref="E34:E40">SUM(F34:O34)-SMALL(F34:O34,2)-MIN(F34:O34)</f>
        <v>200</v>
      </c>
      <c r="F34" s="167">
        <f>_xlfn.IFERROR(VLOOKUP($P34,'Rd1 PI'!$C$2:$AC$21,17,0),0)</f>
        <v>100</v>
      </c>
      <c r="G34" s="51">
        <f>_xlfn.IFERROR(VLOOKUP($P34,'Rd2 Winton'!$C$2:$AC$24,17,0),0)</f>
        <v>100</v>
      </c>
      <c r="H34" s="51">
        <f>_xlfn.IFERROR(VLOOKUP($P34,#REF!,17,0),0)</f>
        <v>0</v>
      </c>
      <c r="I34" s="51">
        <f>_xlfn.IFERROR(VLOOKUP($P34,#REF!,17,0),0)</f>
        <v>0</v>
      </c>
      <c r="J34" s="51">
        <f>_xlfn.IFERROR(VLOOKUP($P34,#REF!,17,0),0)</f>
        <v>0</v>
      </c>
      <c r="K34" s="51">
        <f>_xlfn.IFERROR(VLOOKUP($P34,#REF!,17,0),0)</f>
        <v>0</v>
      </c>
      <c r="L34" s="51">
        <f>_xlfn.IFERROR(VLOOKUP($P34,#REF!,17,0),0)</f>
        <v>0</v>
      </c>
      <c r="M34" s="51">
        <f>_xlfn.IFERROR(VLOOKUP($P34,#REF!,17,0),0)</f>
        <v>0</v>
      </c>
      <c r="N34" s="51">
        <f>_xlfn.IFERROR(VLOOKUP($P34,#REF!,17,0),0)</f>
        <v>0</v>
      </c>
      <c r="O34" s="51">
        <f>_xlfn.IFERROR(VLOOKUP($P34,#REF!,17,0),0)</f>
        <v>0</v>
      </c>
      <c r="P34" s="5" t="str">
        <f aca="true" t="shared" si="4" ref="P34:P40">CONCATENATE(LOWER(B34)," ",LOWER(C34))</f>
        <v>steve williamsz</v>
      </c>
    </row>
    <row r="35" spans="1:17" ht="12.75">
      <c r="A35" s="55">
        <v>2</v>
      </c>
      <c r="B35" s="56" t="s">
        <v>81</v>
      </c>
      <c r="C35" s="56" t="s">
        <v>66</v>
      </c>
      <c r="D35" s="52" t="s">
        <v>5</v>
      </c>
      <c r="E35" s="88">
        <f t="shared" si="3"/>
        <v>135</v>
      </c>
      <c r="F35" s="167">
        <f>_xlfn.IFERROR(VLOOKUP($P35,'Rd1 PI'!$C$2:$AC$21,17,0),0)</f>
        <v>75</v>
      </c>
      <c r="G35" s="51">
        <f>_xlfn.IFERROR(VLOOKUP($P35,'Rd2 Winton'!$C$2:$AC$24,17,0),0)</f>
        <v>60</v>
      </c>
      <c r="H35" s="51">
        <f>_xlfn.IFERROR(VLOOKUP($P35,#REF!,17,0),0)</f>
        <v>0</v>
      </c>
      <c r="I35" s="51">
        <f>_xlfn.IFERROR(VLOOKUP($P35,#REF!,17,0),0)</f>
        <v>0</v>
      </c>
      <c r="J35" s="51">
        <f>_xlfn.IFERROR(VLOOKUP($P35,#REF!,17,0),0)</f>
        <v>0</v>
      </c>
      <c r="K35" s="51">
        <f>_xlfn.IFERROR(VLOOKUP($P35,#REF!,17,0),0)</f>
        <v>0</v>
      </c>
      <c r="L35" s="51">
        <f>_xlfn.IFERROR(VLOOKUP($P35,#REF!,17,0),0)</f>
        <v>0</v>
      </c>
      <c r="M35" s="51">
        <f>_xlfn.IFERROR(VLOOKUP($P35,#REF!,17,0),0)</f>
        <v>0</v>
      </c>
      <c r="N35" s="51">
        <f>_xlfn.IFERROR(VLOOKUP($P35,#REF!,17,0),0)</f>
        <v>0</v>
      </c>
      <c r="O35" s="51">
        <f>_xlfn.IFERROR(VLOOKUP($P35,#REF!,17,0),0)</f>
        <v>0</v>
      </c>
      <c r="P35" s="5" t="str">
        <f t="shared" si="4"/>
        <v>john downes</v>
      </c>
      <c r="Q35" s="15"/>
    </row>
    <row r="36" spans="1:17" ht="12.75">
      <c r="A36" s="55">
        <v>3</v>
      </c>
      <c r="B36" s="56" t="s">
        <v>33</v>
      </c>
      <c r="C36" s="56" t="s">
        <v>34</v>
      </c>
      <c r="D36" s="52" t="s">
        <v>5</v>
      </c>
      <c r="E36" s="88">
        <f t="shared" si="3"/>
        <v>135</v>
      </c>
      <c r="F36" s="167">
        <f>_xlfn.IFERROR(VLOOKUP($P36,'Rd1 PI'!$C$2:$AC$21,17,0),0)</f>
        <v>60</v>
      </c>
      <c r="G36" s="51">
        <f>_xlfn.IFERROR(VLOOKUP($P36,'Rd2 Winton'!$C$2:$AC$24,17,0),0)</f>
        <v>75</v>
      </c>
      <c r="H36" s="51">
        <f>_xlfn.IFERROR(VLOOKUP($P36,#REF!,17,0),0)</f>
        <v>0</v>
      </c>
      <c r="I36" s="51">
        <f>_xlfn.IFERROR(VLOOKUP($P36,#REF!,17,0),0)</f>
        <v>0</v>
      </c>
      <c r="J36" s="51">
        <f>_xlfn.IFERROR(VLOOKUP($P36,#REF!,17,0),0)</f>
        <v>0</v>
      </c>
      <c r="K36" s="51">
        <f>_xlfn.IFERROR(VLOOKUP($P36,#REF!,17,0),0)</f>
        <v>0</v>
      </c>
      <c r="L36" s="51">
        <f>_xlfn.IFERROR(VLOOKUP($P36,#REF!,17,0),0)</f>
        <v>0</v>
      </c>
      <c r="M36" s="51">
        <f>_xlfn.IFERROR(VLOOKUP($P36,#REF!,17,0),0)</f>
        <v>0</v>
      </c>
      <c r="N36" s="51">
        <f>_xlfn.IFERROR(VLOOKUP($P36,#REF!,17,0),0)</f>
        <v>0</v>
      </c>
      <c r="O36" s="51">
        <f>_xlfn.IFERROR(VLOOKUP($P36,#REF!,17,0),0)</f>
        <v>0</v>
      </c>
      <c r="P36" s="5" t="str">
        <f t="shared" si="4"/>
        <v>simeon ouzas</v>
      </c>
      <c r="Q36" s="15"/>
    </row>
    <row r="37" spans="1:17" ht="12.75">
      <c r="A37" s="55">
        <v>4</v>
      </c>
      <c r="B37" s="56" t="s">
        <v>147</v>
      </c>
      <c r="C37" s="56" t="s">
        <v>148</v>
      </c>
      <c r="D37" s="52" t="s">
        <v>5</v>
      </c>
      <c r="E37" s="88">
        <f t="shared" si="3"/>
        <v>90</v>
      </c>
      <c r="F37" s="167">
        <f>_xlfn.IFERROR(VLOOKUP($P37,'Rd1 PI'!$C$2:$AC$21,17,0),0)</f>
        <v>45</v>
      </c>
      <c r="G37" s="51">
        <f>_xlfn.IFERROR(VLOOKUP($P37,'Rd2 Winton'!$C$2:$AC$24,17,0),0)</f>
        <v>45</v>
      </c>
      <c r="H37" s="51">
        <f>_xlfn.IFERROR(VLOOKUP($P37,#REF!,17,0),0)</f>
        <v>0</v>
      </c>
      <c r="I37" s="51">
        <f>_xlfn.IFERROR(VLOOKUP($P37,#REF!,17,0),0)</f>
        <v>0</v>
      </c>
      <c r="J37" s="51">
        <f>_xlfn.IFERROR(VLOOKUP($P37,#REF!,17,0),0)</f>
        <v>0</v>
      </c>
      <c r="K37" s="51">
        <f>_xlfn.IFERROR(VLOOKUP($P37,#REF!,17,0),0)</f>
        <v>0</v>
      </c>
      <c r="L37" s="51">
        <f>_xlfn.IFERROR(VLOOKUP($P37,#REF!,17,0),0)</f>
        <v>0</v>
      </c>
      <c r="M37" s="51">
        <f>_xlfn.IFERROR(VLOOKUP($P37,#REF!,17,0),0)</f>
        <v>0</v>
      </c>
      <c r="N37" s="51">
        <f>_xlfn.IFERROR(VLOOKUP($P37,#REF!,17,0),0)</f>
        <v>0</v>
      </c>
      <c r="O37" s="51">
        <f>_xlfn.IFERROR(VLOOKUP($P37,#REF!,17,0),0)</f>
        <v>0</v>
      </c>
      <c r="P37" s="5" t="str">
        <f t="shared" si="4"/>
        <v>matthew cavell</v>
      </c>
      <c r="Q37" s="15"/>
    </row>
    <row r="38" spans="1:17" ht="12.75">
      <c r="A38" s="55">
        <v>5</v>
      </c>
      <c r="B38" s="56"/>
      <c r="C38" s="56"/>
      <c r="D38" s="52" t="s">
        <v>5</v>
      </c>
      <c r="E38" s="88">
        <f t="shared" si="3"/>
        <v>0</v>
      </c>
      <c r="F38" s="167">
        <f>_xlfn.IFERROR(VLOOKUP($P38,'Rd1 PI'!$C$2:$AC$21,17,0),0)</f>
        <v>0</v>
      </c>
      <c r="G38" s="51">
        <f>_xlfn.IFERROR(VLOOKUP($P38,'Rd2 Winton'!$C$2:$AC$24,17,0),0)</f>
        <v>0</v>
      </c>
      <c r="H38" s="51">
        <f>_xlfn.IFERROR(VLOOKUP($P38,#REF!,17,0),0)</f>
        <v>0</v>
      </c>
      <c r="I38" s="51">
        <f>_xlfn.IFERROR(VLOOKUP($P38,#REF!,17,0),0)</f>
        <v>0</v>
      </c>
      <c r="J38" s="51">
        <f>_xlfn.IFERROR(VLOOKUP($P38,#REF!,17,0),0)</f>
        <v>0</v>
      </c>
      <c r="K38" s="51">
        <f>_xlfn.IFERROR(VLOOKUP($P38,#REF!,17,0),0)</f>
        <v>0</v>
      </c>
      <c r="L38" s="51">
        <f>_xlfn.IFERROR(VLOOKUP($P38,#REF!,17,0),0)</f>
        <v>0</v>
      </c>
      <c r="M38" s="51">
        <f>_xlfn.IFERROR(VLOOKUP($P38,#REF!,17,0),0)</f>
        <v>0</v>
      </c>
      <c r="N38" s="51">
        <f>_xlfn.IFERROR(VLOOKUP($P38,#REF!,17,0),0)</f>
        <v>0</v>
      </c>
      <c r="O38" s="51">
        <f>_xlfn.IFERROR(VLOOKUP($P38,#REF!,17,0),0)</f>
        <v>0</v>
      </c>
      <c r="P38" s="5" t="str">
        <f t="shared" si="4"/>
        <v> </v>
      </c>
      <c r="Q38" s="15"/>
    </row>
    <row r="39" spans="1:17" ht="12.75">
      <c r="A39" s="55">
        <v>6</v>
      </c>
      <c r="B39" s="56"/>
      <c r="C39" s="56"/>
      <c r="D39" s="52" t="s">
        <v>5</v>
      </c>
      <c r="E39" s="88">
        <f t="shared" si="3"/>
        <v>0</v>
      </c>
      <c r="F39" s="167">
        <f>_xlfn.IFERROR(VLOOKUP($P39,'Rd1 PI'!$C$2:$AC$21,17,0),0)</f>
        <v>0</v>
      </c>
      <c r="G39" s="51">
        <f>_xlfn.IFERROR(VLOOKUP($P39,'Rd2 Winton'!$C$2:$AC$24,17,0),0)</f>
        <v>0</v>
      </c>
      <c r="H39" s="51">
        <f>_xlfn.IFERROR(VLOOKUP($P39,#REF!,17,0),0)</f>
        <v>0</v>
      </c>
      <c r="I39" s="51">
        <f>_xlfn.IFERROR(VLOOKUP($P39,#REF!,17,0),0)</f>
        <v>0</v>
      </c>
      <c r="J39" s="51">
        <f>_xlfn.IFERROR(VLOOKUP($P39,#REF!,17,0),0)</f>
        <v>0</v>
      </c>
      <c r="K39" s="51">
        <f>_xlfn.IFERROR(VLOOKUP($P39,#REF!,17,0),0)</f>
        <v>0</v>
      </c>
      <c r="L39" s="51">
        <f>_xlfn.IFERROR(VLOOKUP($P39,#REF!,17,0),0)</f>
        <v>0</v>
      </c>
      <c r="M39" s="51">
        <f>_xlfn.IFERROR(VLOOKUP($P39,#REF!,17,0),0)</f>
        <v>0</v>
      </c>
      <c r="N39" s="51">
        <f>_xlfn.IFERROR(VLOOKUP($P39,#REF!,17,0),0)</f>
        <v>0</v>
      </c>
      <c r="O39" s="51">
        <f>_xlfn.IFERROR(VLOOKUP($P39,#REF!,17,0),0)</f>
        <v>0</v>
      </c>
      <c r="P39" s="5" t="str">
        <f t="shared" si="4"/>
        <v> </v>
      </c>
      <c r="Q39" s="15"/>
    </row>
    <row r="40" spans="1:17" ht="13.5" thickBot="1">
      <c r="A40" s="55">
        <v>7</v>
      </c>
      <c r="B40" s="56"/>
      <c r="C40" s="56"/>
      <c r="D40" s="52" t="s">
        <v>5</v>
      </c>
      <c r="E40" s="89">
        <f t="shared" si="3"/>
        <v>0</v>
      </c>
      <c r="F40" s="167">
        <f>_xlfn.IFERROR(VLOOKUP($P40,'Rd1 PI'!$C$2:$AC$21,17,0),0)</f>
        <v>0</v>
      </c>
      <c r="G40" s="51">
        <f>_xlfn.IFERROR(VLOOKUP($P40,'Rd2 Winton'!$C$2:$AC$24,17,0),0)</f>
        <v>0</v>
      </c>
      <c r="H40" s="51">
        <f>_xlfn.IFERROR(VLOOKUP($P40,#REF!,17,0),0)</f>
        <v>0</v>
      </c>
      <c r="I40" s="51">
        <f>_xlfn.IFERROR(VLOOKUP($P40,#REF!,17,0),0)</f>
        <v>0</v>
      </c>
      <c r="J40" s="51">
        <f>_xlfn.IFERROR(VLOOKUP($P40,#REF!,17,0),0)</f>
        <v>0</v>
      </c>
      <c r="K40" s="51">
        <f>_xlfn.IFERROR(VLOOKUP($P40,#REF!,17,0),0)</f>
        <v>0</v>
      </c>
      <c r="L40" s="51">
        <f>_xlfn.IFERROR(VLOOKUP($P40,#REF!,17,0),0)</f>
        <v>0</v>
      </c>
      <c r="M40" s="51">
        <f>_xlfn.IFERROR(VLOOKUP($P40,#REF!,17,0),0)</f>
        <v>0</v>
      </c>
      <c r="N40" s="51">
        <f>_xlfn.IFERROR(VLOOKUP($P40,#REF!,17,0),0)</f>
        <v>0</v>
      </c>
      <c r="O40" s="51">
        <f>_xlfn.IFERROR(VLOOKUP($P40,#REF!,17,0),0)</f>
        <v>0</v>
      </c>
      <c r="P40" s="5" t="str">
        <f t="shared" si="4"/>
        <v> </v>
      </c>
      <c r="Q40" s="15"/>
    </row>
    <row r="41" spans="2:17" ht="12.75">
      <c r="B41" s="18"/>
      <c r="C41" s="18"/>
      <c r="D41" s="19"/>
      <c r="E41" s="24"/>
      <c r="F41" s="4"/>
      <c r="G41" s="4"/>
      <c r="H41" s="1"/>
      <c r="I41" s="4"/>
      <c r="J41" s="4"/>
      <c r="K41" s="4"/>
      <c r="L41" s="4"/>
      <c r="M41" s="4"/>
      <c r="N41" s="4"/>
      <c r="O41" s="4"/>
      <c r="P41" s="14"/>
      <c r="Q41" s="15"/>
    </row>
    <row r="42" spans="1:17" ht="13.5" thickBot="1">
      <c r="A42" s="150" t="s">
        <v>9</v>
      </c>
      <c r="B42" s="151"/>
      <c r="C42" s="151"/>
      <c r="D42" s="15"/>
      <c r="E42" s="24"/>
      <c r="F42" s="4"/>
      <c r="G42" s="4"/>
      <c r="H42" s="5"/>
      <c r="I42" s="4"/>
      <c r="J42" s="4"/>
      <c r="K42" s="4"/>
      <c r="L42" s="4"/>
      <c r="M42" s="4"/>
      <c r="N42" s="4"/>
      <c r="O42" s="4"/>
      <c r="P42" s="14"/>
      <c r="Q42" s="15"/>
    </row>
    <row r="43" spans="1:17" ht="12.75">
      <c r="A43" s="141">
        <v>1</v>
      </c>
      <c r="B43" s="142" t="s">
        <v>65</v>
      </c>
      <c r="C43" s="293" t="s">
        <v>66</v>
      </c>
      <c r="D43" s="146" t="s">
        <v>4</v>
      </c>
      <c r="E43" s="138">
        <f>SUM(F43:O43)-SMALL(F43:O43,2)-MIN(F43:O43)</f>
        <v>200</v>
      </c>
      <c r="F43" s="289">
        <f>_xlfn.IFERROR(VLOOKUP($P43,'Rd1 PI'!$C$2:$AC$21,17,0),0)</f>
        <v>100</v>
      </c>
      <c r="G43" s="139">
        <f>_xlfn.IFERROR(VLOOKUP($P43,'Rd2 Winton'!$C$2:$AC$24,17,0),0)</f>
        <v>100</v>
      </c>
      <c r="H43" s="139">
        <f>_xlfn.IFERROR(VLOOKUP($P43,#REF!,17,0),0)</f>
        <v>0</v>
      </c>
      <c r="I43" s="139">
        <f>_xlfn.IFERROR(VLOOKUP($P43,#REF!,17,0),0)</f>
        <v>0</v>
      </c>
      <c r="J43" s="139">
        <f>_xlfn.IFERROR(VLOOKUP($P43,#REF!,17,0),0)</f>
        <v>0</v>
      </c>
      <c r="K43" s="139">
        <f>_xlfn.IFERROR(VLOOKUP($P43,#REF!,17,0),0)</f>
        <v>0</v>
      </c>
      <c r="L43" s="139">
        <f>_xlfn.IFERROR(VLOOKUP($P43,#REF!,17,0),0)</f>
        <v>0</v>
      </c>
      <c r="M43" s="139">
        <f>_xlfn.IFERROR(VLOOKUP($P43,#REF!,17,0),0)</f>
        <v>0</v>
      </c>
      <c r="N43" s="139">
        <f>_xlfn.IFERROR(VLOOKUP($P43,#REF!,17,0),0)</f>
        <v>0</v>
      </c>
      <c r="O43" s="139">
        <f>_xlfn.IFERROR(VLOOKUP($P43,#REF!,17,0),0)</f>
        <v>0</v>
      </c>
      <c r="P43" s="5" t="str">
        <f>CONCATENATE(LOWER(B43)," ",LOWER(C43))</f>
        <v>robert downes</v>
      </c>
      <c r="Q43" s="15"/>
    </row>
    <row r="44" spans="1:17" ht="12.75">
      <c r="A44" s="141">
        <v>2</v>
      </c>
      <c r="B44" s="147" t="s">
        <v>193</v>
      </c>
      <c r="C44" s="147" t="s">
        <v>194</v>
      </c>
      <c r="D44" s="146" t="s">
        <v>4</v>
      </c>
      <c r="E44" s="140">
        <f>SUM(F44:O44)-SMALL(F44:O44,2)-MIN(F44:O44)</f>
        <v>75</v>
      </c>
      <c r="F44" s="289">
        <f>_xlfn.IFERROR(VLOOKUP($P44,'Rd1 PI'!$C$2:$AC$21,17,0),0)</f>
        <v>0</v>
      </c>
      <c r="G44" s="139">
        <f>_xlfn.IFERROR(VLOOKUP($P44,'Rd2 Winton'!$C$2:$AC$24,17,0),0)</f>
        <v>75</v>
      </c>
      <c r="H44" s="139">
        <f>_xlfn.IFERROR(VLOOKUP($P44,#REF!,17,0),0)</f>
        <v>0</v>
      </c>
      <c r="I44" s="139">
        <f>_xlfn.IFERROR(VLOOKUP($P44,#REF!,17,0),0)</f>
        <v>0</v>
      </c>
      <c r="J44" s="139">
        <f>_xlfn.IFERROR(VLOOKUP($P44,#REF!,17,0),0)</f>
        <v>0</v>
      </c>
      <c r="K44" s="139">
        <f>_xlfn.IFERROR(VLOOKUP($P44,#REF!,17,0),0)</f>
        <v>0</v>
      </c>
      <c r="L44" s="139">
        <f>_xlfn.IFERROR(VLOOKUP($P44,#REF!,17,0),0)</f>
        <v>0</v>
      </c>
      <c r="M44" s="139">
        <f>_xlfn.IFERROR(VLOOKUP($P44,#REF!,17,0),0)</f>
        <v>0</v>
      </c>
      <c r="N44" s="139">
        <f>_xlfn.IFERROR(VLOOKUP($P44,#REF!,17,0),0)</f>
        <v>0</v>
      </c>
      <c r="O44" s="139">
        <f>_xlfn.IFERROR(VLOOKUP($P44,#REF!,17,0),0)</f>
        <v>0</v>
      </c>
      <c r="P44" s="5" t="str">
        <f>CONCATENATE(LOWER(B44)," ",LOWER(C44))</f>
        <v>ian vague</v>
      </c>
      <c r="Q44" s="15"/>
    </row>
    <row r="45" spans="1:17" ht="12.75">
      <c r="A45" s="141">
        <v>3</v>
      </c>
      <c r="B45" s="137"/>
      <c r="C45" s="137"/>
      <c r="D45" s="146" t="s">
        <v>4</v>
      </c>
      <c r="E45" s="140">
        <f>SUM(F45:O45)-SMALL(F45:O45,2)-MIN(F45:O45)</f>
        <v>0</v>
      </c>
      <c r="F45" s="289">
        <f>_xlfn.IFERROR(VLOOKUP($P45,'Rd1 PI'!$C$2:$AC$21,17,0),0)</f>
        <v>0</v>
      </c>
      <c r="G45" s="139">
        <f>_xlfn.IFERROR(VLOOKUP($P45,'Rd2 Winton'!$C$2:$AC$24,17,0),0)</f>
        <v>0</v>
      </c>
      <c r="H45" s="139">
        <f>_xlfn.IFERROR(VLOOKUP($P45,#REF!,17,0),0)</f>
        <v>0</v>
      </c>
      <c r="I45" s="139">
        <f>_xlfn.IFERROR(VLOOKUP($P45,#REF!,17,0),0)</f>
        <v>0</v>
      </c>
      <c r="J45" s="139">
        <f>_xlfn.IFERROR(VLOOKUP($P45,#REF!,17,0),0)</f>
        <v>0</v>
      </c>
      <c r="K45" s="139">
        <f>_xlfn.IFERROR(VLOOKUP($P45,#REF!,17,0),0)</f>
        <v>0</v>
      </c>
      <c r="L45" s="139">
        <f>_xlfn.IFERROR(VLOOKUP($P45,#REF!,17,0),0)</f>
        <v>0</v>
      </c>
      <c r="M45" s="139">
        <f>_xlfn.IFERROR(VLOOKUP($P45,#REF!,17,0),0)</f>
        <v>0</v>
      </c>
      <c r="N45" s="139">
        <f>_xlfn.IFERROR(VLOOKUP($P45,#REF!,17,0),0)</f>
        <v>0</v>
      </c>
      <c r="O45" s="139">
        <f>_xlfn.IFERROR(VLOOKUP($P45,#REF!,17,0),0)</f>
        <v>0</v>
      </c>
      <c r="P45" s="5" t="str">
        <f>CONCATENATE(LOWER(B45)," ",LOWER(C45))</f>
        <v> </v>
      </c>
      <c r="Q45" s="15"/>
    </row>
    <row r="46" spans="1:17" ht="12.75">
      <c r="A46" s="141">
        <v>4</v>
      </c>
      <c r="B46" s="147"/>
      <c r="C46" s="147"/>
      <c r="D46" s="146" t="s">
        <v>4</v>
      </c>
      <c r="E46" s="140">
        <f>SUM(F46:O46)-SMALL(F46:O46,2)-MIN(F46:O46)</f>
        <v>0</v>
      </c>
      <c r="F46" s="289">
        <f>_xlfn.IFERROR(VLOOKUP($P46,'Rd1 PI'!$C$2:$AC$21,17,0),0)</f>
        <v>0</v>
      </c>
      <c r="G46" s="139">
        <f>_xlfn.IFERROR(VLOOKUP($P46,'Rd2 Winton'!$C$2:$AC$24,17,0),0)</f>
        <v>0</v>
      </c>
      <c r="H46" s="139">
        <f>_xlfn.IFERROR(VLOOKUP($P46,#REF!,17,0),0)</f>
        <v>0</v>
      </c>
      <c r="I46" s="139">
        <f>_xlfn.IFERROR(VLOOKUP($P46,#REF!,17,0),0)</f>
        <v>0</v>
      </c>
      <c r="J46" s="139">
        <f>_xlfn.IFERROR(VLOOKUP($P46,#REF!,17,0),0)</f>
        <v>0</v>
      </c>
      <c r="K46" s="139">
        <f>_xlfn.IFERROR(VLOOKUP($P46,#REF!,17,0),0)</f>
        <v>0</v>
      </c>
      <c r="L46" s="139">
        <f>_xlfn.IFERROR(VLOOKUP($P46,#REF!,17,0),0)</f>
        <v>0</v>
      </c>
      <c r="M46" s="139">
        <f>_xlfn.IFERROR(VLOOKUP($P46,#REF!,17,0),0)</f>
        <v>0</v>
      </c>
      <c r="N46" s="139">
        <f>_xlfn.IFERROR(VLOOKUP($P46,#REF!,17,0),0)</f>
        <v>0</v>
      </c>
      <c r="O46" s="139">
        <f>_xlfn.IFERROR(VLOOKUP($P46,#REF!,17,0),0)</f>
        <v>0</v>
      </c>
      <c r="P46" s="5" t="str">
        <f>CONCATENATE(LOWER(B46)," ",LOWER(C46))</f>
        <v> </v>
      </c>
      <c r="Q46" s="15"/>
    </row>
    <row r="47" spans="1:17" ht="13.5" thickBot="1">
      <c r="A47" s="141">
        <v>5</v>
      </c>
      <c r="B47" s="137"/>
      <c r="C47" s="137"/>
      <c r="D47" s="146" t="s">
        <v>4</v>
      </c>
      <c r="E47" s="143">
        <f>SUM(F47:O47)-SMALL(F47:O47,2)-MIN(F47:O47)</f>
        <v>0</v>
      </c>
      <c r="F47" s="289">
        <f>_xlfn.IFERROR(VLOOKUP($P47,'Rd1 PI'!$C$2:$AC$21,17,0),0)</f>
        <v>0</v>
      </c>
      <c r="G47" s="139">
        <f>_xlfn.IFERROR(VLOOKUP($P47,'Rd2 Winton'!$C$2:$AC$24,17,0),0)</f>
        <v>0</v>
      </c>
      <c r="H47" s="139">
        <f>_xlfn.IFERROR(VLOOKUP($P47,#REF!,17,0),0)</f>
        <v>0</v>
      </c>
      <c r="I47" s="139">
        <f>_xlfn.IFERROR(VLOOKUP($P47,#REF!,17,0),0)</f>
        <v>0</v>
      </c>
      <c r="J47" s="139">
        <f>_xlfn.IFERROR(VLOOKUP($P47,#REF!,17,0),0)</f>
        <v>0</v>
      </c>
      <c r="K47" s="139">
        <f>_xlfn.IFERROR(VLOOKUP($P47,#REF!,17,0),0)</f>
        <v>0</v>
      </c>
      <c r="L47" s="139">
        <f>_xlfn.IFERROR(VLOOKUP($P47,#REF!,17,0),0)</f>
        <v>0</v>
      </c>
      <c r="M47" s="139">
        <f>_xlfn.IFERROR(VLOOKUP($P47,#REF!,17,0),0)</f>
        <v>0</v>
      </c>
      <c r="N47" s="139">
        <f>_xlfn.IFERROR(VLOOKUP($P47,#REF!,17,0),0)</f>
        <v>0</v>
      </c>
      <c r="O47" s="139">
        <f>_xlfn.IFERROR(VLOOKUP($P47,#REF!,17,0),0)</f>
        <v>0</v>
      </c>
      <c r="P47" s="5" t="str">
        <f>CONCATENATE(LOWER(B47)," ",LOWER(C47))</f>
        <v> </v>
      </c>
      <c r="Q47" s="15"/>
    </row>
    <row r="48" spans="1:17" ht="12.75">
      <c r="A48" s="13"/>
      <c r="B48" s="22"/>
      <c r="C48" s="22"/>
      <c r="D48" s="23"/>
      <c r="E48" s="24"/>
      <c r="F48" s="4"/>
      <c r="G48" s="4"/>
      <c r="H48" s="4"/>
      <c r="I48" s="4"/>
      <c r="J48" s="4"/>
      <c r="K48" s="4"/>
      <c r="L48" s="4"/>
      <c r="M48" s="4"/>
      <c r="N48" s="4"/>
      <c r="O48" s="4"/>
      <c r="P48" s="14"/>
      <c r="Q48" s="15"/>
    </row>
    <row r="49" spans="1:17" ht="13.5" thickBot="1">
      <c r="A49" s="148" t="s">
        <v>20</v>
      </c>
      <c r="B49" s="149"/>
      <c r="C49" s="149"/>
      <c r="D49" s="15"/>
      <c r="E49" s="24"/>
      <c r="F49" s="4"/>
      <c r="G49" s="4"/>
      <c r="H49" s="5"/>
      <c r="I49" s="4"/>
      <c r="J49" s="4"/>
      <c r="K49" s="4"/>
      <c r="L49" s="4"/>
      <c r="M49" s="4"/>
      <c r="N49" s="4"/>
      <c r="O49" s="4"/>
      <c r="P49" s="14"/>
      <c r="Q49" s="15"/>
    </row>
    <row r="50" spans="1:17" ht="12.75">
      <c r="A50" s="134">
        <v>1</v>
      </c>
      <c r="B50" s="145" t="s">
        <v>191</v>
      </c>
      <c r="C50" s="165" t="s">
        <v>192</v>
      </c>
      <c r="D50" s="144" t="s">
        <v>50</v>
      </c>
      <c r="E50" s="131">
        <f>SUM(F50:O50)-SMALL(F50:O50,2)-MIN(F50:O50)</f>
        <v>100</v>
      </c>
      <c r="F50" s="169">
        <f>_xlfn.IFERROR(VLOOKUP($P50,'Rd1 PI'!$C$2:$AC$21,17,0),0)</f>
        <v>0</v>
      </c>
      <c r="G50" s="132">
        <f>_xlfn.IFERROR(VLOOKUP($P50,'Rd2 Winton'!$C$2:$AC$24,17,0),0)</f>
        <v>100</v>
      </c>
      <c r="H50" s="132">
        <f>_xlfn.IFERROR(VLOOKUP($P50,#REF!,17,0),0)</f>
        <v>0</v>
      </c>
      <c r="I50" s="132">
        <f>_xlfn.IFERROR(VLOOKUP($P50,#REF!,17,0),0)</f>
        <v>0</v>
      </c>
      <c r="J50" s="132">
        <f>_xlfn.IFERROR(VLOOKUP($P50,#REF!,17,0),0)</f>
        <v>0</v>
      </c>
      <c r="K50" s="132">
        <f>_xlfn.IFERROR(VLOOKUP($P50,#REF!,17,0),0)</f>
        <v>0</v>
      </c>
      <c r="L50" s="132">
        <f>_xlfn.IFERROR(VLOOKUP($P50,#REF!,17,0),0)</f>
        <v>0</v>
      </c>
      <c r="M50" s="132">
        <f>_xlfn.IFERROR(VLOOKUP($P50,#REF!,17,0),0)</f>
        <v>0</v>
      </c>
      <c r="N50" s="132">
        <f>_xlfn.IFERROR(VLOOKUP($P50,#REF!,17,0),0)</f>
        <v>0</v>
      </c>
      <c r="O50" s="132">
        <f>_xlfn.IFERROR(VLOOKUP($P50,#REF!,17,0),0)</f>
        <v>0</v>
      </c>
      <c r="P50" s="5" t="str">
        <f>CONCATENATE(LOWER(B50)," ",LOWER(C50))</f>
        <v>david adam</v>
      </c>
      <c r="Q50" s="15"/>
    </row>
    <row r="51" spans="1:17" ht="12.75">
      <c r="A51" s="134">
        <v>2</v>
      </c>
      <c r="B51" s="165"/>
      <c r="C51" s="165"/>
      <c r="D51" s="144" t="s">
        <v>50</v>
      </c>
      <c r="E51" s="133">
        <f>SUM(F51:O51)-SMALL(F51:O51,2)-MIN(F51:O51)</f>
        <v>0</v>
      </c>
      <c r="F51" s="169">
        <f>_xlfn.IFERROR(VLOOKUP($P51,'Rd1 PI'!$C$2:$AC$21,17,0),0)</f>
        <v>0</v>
      </c>
      <c r="G51" s="132">
        <f>_xlfn.IFERROR(VLOOKUP($P51,'Rd2 Winton'!$C$2:$AC$24,17,0),0)</f>
        <v>0</v>
      </c>
      <c r="H51" s="132">
        <f>_xlfn.IFERROR(VLOOKUP($P51,#REF!,17,0),0)</f>
        <v>0</v>
      </c>
      <c r="I51" s="132">
        <f>_xlfn.IFERROR(VLOOKUP($P51,#REF!,17,0),0)</f>
        <v>0</v>
      </c>
      <c r="J51" s="132">
        <f>_xlfn.IFERROR(VLOOKUP($P51,#REF!,17,0),0)</f>
        <v>0</v>
      </c>
      <c r="K51" s="132">
        <v>0</v>
      </c>
      <c r="L51" s="132">
        <f>_xlfn.IFERROR(VLOOKUP($P51,#REF!,17,0),0)</f>
        <v>0</v>
      </c>
      <c r="M51" s="132">
        <f>_xlfn.IFERROR(VLOOKUP($P51,#REF!,17,0),0)</f>
        <v>0</v>
      </c>
      <c r="N51" s="132">
        <f>_xlfn.IFERROR(VLOOKUP($P51,#REF!,17,0),0)</f>
        <v>0</v>
      </c>
      <c r="O51" s="132">
        <f>_xlfn.IFERROR(VLOOKUP($P51,#REF!,17,0),0)</f>
        <v>0</v>
      </c>
      <c r="P51" s="5" t="str">
        <f>CONCATENATE(LOWER(B51)," ",LOWER(C51))</f>
        <v> </v>
      </c>
      <c r="Q51" s="15"/>
    </row>
    <row r="52" spans="1:17" ht="12.75">
      <c r="A52" s="134">
        <v>3</v>
      </c>
      <c r="B52" s="130"/>
      <c r="C52" s="130"/>
      <c r="D52" s="144" t="s">
        <v>50</v>
      </c>
      <c r="E52" s="133">
        <f>SUM(F52:O52)-SMALL(F52:O52,2)-MIN(F52:O52)</f>
        <v>0</v>
      </c>
      <c r="F52" s="169">
        <f>_xlfn.IFERROR(VLOOKUP($P52,'Rd1 PI'!$C$2:$AC$21,17,0),0)</f>
        <v>0</v>
      </c>
      <c r="G52" s="132">
        <f>_xlfn.IFERROR(VLOOKUP($P52,'Rd2 Winton'!$C$2:$AC$24,17,0),0)</f>
        <v>0</v>
      </c>
      <c r="H52" s="132">
        <f>_xlfn.IFERROR(VLOOKUP($P52,#REF!,17,0),0)</f>
        <v>0</v>
      </c>
      <c r="I52" s="132">
        <f>_xlfn.IFERROR(VLOOKUP($P52,#REF!,17,0),0)</f>
        <v>0</v>
      </c>
      <c r="J52" s="132">
        <f>_xlfn.IFERROR(VLOOKUP($P52,#REF!,17,0),0)</f>
        <v>0</v>
      </c>
      <c r="K52" s="132">
        <v>0</v>
      </c>
      <c r="L52" s="132">
        <f>_xlfn.IFERROR(VLOOKUP($P52,#REF!,17,0),0)</f>
        <v>0</v>
      </c>
      <c r="M52" s="132">
        <f>_xlfn.IFERROR(VLOOKUP($P52,#REF!,17,0),0)</f>
        <v>0</v>
      </c>
      <c r="N52" s="132">
        <f>_xlfn.IFERROR(VLOOKUP($P52,#REF!,17,0),0)</f>
        <v>0</v>
      </c>
      <c r="O52" s="132">
        <f>_xlfn.IFERROR(VLOOKUP($P52,#REF!,17,0),0)</f>
        <v>0</v>
      </c>
      <c r="P52" s="5" t="str">
        <f>CONCATENATE(LOWER(B52)," ",LOWER(C52))</f>
        <v> </v>
      </c>
      <c r="Q52" s="15"/>
    </row>
    <row r="53" spans="1:17" ht="12.75">
      <c r="A53" s="134">
        <v>4</v>
      </c>
      <c r="B53" s="135"/>
      <c r="C53" s="135"/>
      <c r="D53" s="144" t="s">
        <v>50</v>
      </c>
      <c r="E53" s="133">
        <f>SUM(F53:O53)-SMALL(F53:O53,2)-MIN(F53:O53)</f>
        <v>0</v>
      </c>
      <c r="F53" s="169">
        <f>_xlfn.IFERROR(VLOOKUP($P53,'Rd1 PI'!$C$2:$AC$21,17,0),0)</f>
        <v>0</v>
      </c>
      <c r="G53" s="132">
        <f>_xlfn.IFERROR(VLOOKUP($P53,'Rd2 Winton'!$C$2:$AC$24,17,0),0)</f>
        <v>0</v>
      </c>
      <c r="H53" s="132">
        <f>_xlfn.IFERROR(VLOOKUP($P53,#REF!,17,0),0)</f>
        <v>0</v>
      </c>
      <c r="I53" s="132">
        <f>_xlfn.IFERROR(VLOOKUP($P53,#REF!,17,0),0)</f>
        <v>0</v>
      </c>
      <c r="J53" s="132">
        <f>_xlfn.IFERROR(VLOOKUP($P53,#REF!,17,0),0)</f>
        <v>0</v>
      </c>
      <c r="K53" s="132">
        <v>0</v>
      </c>
      <c r="L53" s="132">
        <f>_xlfn.IFERROR(VLOOKUP($P53,#REF!,17,0),0)</f>
        <v>0</v>
      </c>
      <c r="M53" s="132">
        <f>_xlfn.IFERROR(VLOOKUP($P53,#REF!,17,0),0)</f>
        <v>0</v>
      </c>
      <c r="N53" s="132">
        <f>_xlfn.IFERROR(VLOOKUP($P53,#REF!,17,0),0)</f>
        <v>0</v>
      </c>
      <c r="O53" s="132">
        <f>_xlfn.IFERROR(VLOOKUP($P53,#REF!,17,0),0)</f>
        <v>0</v>
      </c>
      <c r="P53" s="5" t="str">
        <f>CONCATENATE(LOWER(B53)," ",LOWER(C53))</f>
        <v> </v>
      </c>
      <c r="Q53" s="15"/>
    </row>
    <row r="54" spans="1:17" ht="13.5" thickBot="1">
      <c r="A54" s="134">
        <v>5</v>
      </c>
      <c r="B54" s="130"/>
      <c r="C54" s="130"/>
      <c r="D54" s="144" t="s">
        <v>50</v>
      </c>
      <c r="E54" s="136">
        <f>SUM(F54:O54)-SMALL(F54:O54,2)-MIN(F54:O54)</f>
        <v>0</v>
      </c>
      <c r="F54" s="169">
        <f>_xlfn.IFERROR(VLOOKUP($P54,'Rd1 PI'!$C$2:$AC$21,17,0),0)</f>
        <v>0</v>
      </c>
      <c r="G54" s="132">
        <f>_xlfn.IFERROR(VLOOKUP($P54,'Rd2 Winton'!$C$2:$AC$24,17,0),0)</f>
        <v>0</v>
      </c>
      <c r="H54" s="132">
        <f>_xlfn.IFERROR(VLOOKUP($P54,#REF!,17,0),0)</f>
        <v>0</v>
      </c>
      <c r="I54" s="132">
        <f>_xlfn.IFERROR(VLOOKUP($P54,#REF!,17,0),0)</f>
        <v>0</v>
      </c>
      <c r="J54" s="132">
        <f>_xlfn.IFERROR(VLOOKUP($P54,#REF!,17,0),0)</f>
        <v>0</v>
      </c>
      <c r="K54" s="132">
        <v>0</v>
      </c>
      <c r="L54" s="132">
        <f>_xlfn.IFERROR(VLOOKUP($P54,#REF!,17,0),0)</f>
        <v>0</v>
      </c>
      <c r="M54" s="132">
        <f>_xlfn.IFERROR(VLOOKUP($P54,#REF!,17,0),0)</f>
        <v>0</v>
      </c>
      <c r="N54" s="132">
        <f>_xlfn.IFERROR(VLOOKUP($P54,#REF!,17,0),0)</f>
        <v>0</v>
      </c>
      <c r="O54" s="132">
        <f>_xlfn.IFERROR(VLOOKUP($P54,#REF!,17,0),0)</f>
        <v>0</v>
      </c>
      <c r="P54" s="5" t="str">
        <f>CONCATENATE(LOWER(B54)," ",LOWER(C54))</f>
        <v> </v>
      </c>
      <c r="Q54" s="15"/>
    </row>
    <row r="55" spans="1:17" ht="12.75">
      <c r="A55" s="13"/>
      <c r="B55" s="22"/>
      <c r="C55" s="22"/>
      <c r="D55" s="23"/>
      <c r="E55" s="24"/>
      <c r="F55" s="4"/>
      <c r="G55" s="4"/>
      <c r="H55" s="4"/>
      <c r="I55" s="4"/>
      <c r="J55" s="4"/>
      <c r="K55" s="4"/>
      <c r="L55" s="4"/>
      <c r="M55" s="4"/>
      <c r="N55" s="4"/>
      <c r="O55" s="4"/>
      <c r="P55" s="14"/>
      <c r="Q55" s="15"/>
    </row>
    <row r="56" spans="1:15" s="5" customFormat="1" ht="13.5" thickBot="1">
      <c r="A56" s="394" t="s">
        <v>18</v>
      </c>
      <c r="B56" s="395"/>
      <c r="C56" s="395"/>
      <c r="D56" s="15"/>
      <c r="E56" s="24"/>
      <c r="F56" s="4"/>
      <c r="G56" s="4"/>
      <c r="I56" s="4"/>
      <c r="J56" s="4"/>
      <c r="K56" s="4"/>
      <c r="L56" s="4"/>
      <c r="M56" s="4"/>
      <c r="N56" s="4"/>
      <c r="O56" s="4"/>
    </row>
    <row r="57" spans="1:16" s="5" customFormat="1" ht="12.75">
      <c r="A57" s="384">
        <v>1</v>
      </c>
      <c r="B57" s="385"/>
      <c r="C57" s="385"/>
      <c r="D57" s="386" t="s">
        <v>22</v>
      </c>
      <c r="E57" s="387">
        <f>SUM(F57:O57)-SMALL(F57:O57,2)-MIN(F57:O57)</f>
        <v>0</v>
      </c>
      <c r="F57" s="388">
        <f>_xlfn.IFERROR(VLOOKUP($P57,'Rd1 PI'!$C$2:$AC$21,17,0),0)</f>
        <v>0</v>
      </c>
      <c r="G57" s="389">
        <f>_xlfn.IFERROR(VLOOKUP($P57,'Rd2 Winton'!$C$2:$AC$24,17,0),0)</f>
        <v>0</v>
      </c>
      <c r="H57" s="389">
        <f>_xlfn.IFERROR(VLOOKUP($P57,#REF!,17,0),0)</f>
        <v>0</v>
      </c>
      <c r="I57" s="389">
        <f>_xlfn.IFERROR(VLOOKUP($P57,#REF!,17,0),0)</f>
        <v>0</v>
      </c>
      <c r="J57" s="389">
        <f>_xlfn.IFERROR(VLOOKUP($P57,#REF!,17,0),0)</f>
        <v>0</v>
      </c>
      <c r="K57" s="389">
        <f>_xlfn.IFERROR(VLOOKUP($P57,#REF!,17,0),0)</f>
        <v>0</v>
      </c>
      <c r="L57" s="389">
        <f>_xlfn.IFERROR(VLOOKUP($P57,#REF!,17,0),0)</f>
        <v>0</v>
      </c>
      <c r="M57" s="389">
        <f>_xlfn.IFERROR(VLOOKUP($P57,#REF!,17,0),0)</f>
        <v>0</v>
      </c>
      <c r="N57" s="389">
        <f>_xlfn.IFERROR(VLOOKUP($P57,#REF!,17,0),0)</f>
        <v>0</v>
      </c>
      <c r="O57" s="389">
        <v>0</v>
      </c>
      <c r="P57" s="5" t="str">
        <f>CONCATENATE(LOWER(B57)," ",LOWER(C57))</f>
        <v> </v>
      </c>
    </row>
    <row r="58" spans="1:16" s="5" customFormat="1" ht="12.75">
      <c r="A58" s="384">
        <v>2</v>
      </c>
      <c r="B58" s="385"/>
      <c r="C58" s="385"/>
      <c r="D58" s="386" t="s">
        <v>22</v>
      </c>
      <c r="E58" s="390">
        <f>SUM(F58:O58)-SMALL(F58:O58,2)-MIN(F58:O58)</f>
        <v>0</v>
      </c>
      <c r="F58" s="388">
        <f>_xlfn.IFERROR(VLOOKUP($P58,'Rd1 PI'!$C$2:$AC$21,17,0),0)</f>
        <v>0</v>
      </c>
      <c r="G58" s="389">
        <f>_xlfn.IFERROR(VLOOKUP($P58,'Rd2 Winton'!$C$2:$AC$24,17,0),0)</f>
        <v>0</v>
      </c>
      <c r="H58" s="389">
        <f>_xlfn.IFERROR(VLOOKUP($P58,#REF!,17,0),0)</f>
        <v>0</v>
      </c>
      <c r="I58" s="389">
        <f>_xlfn.IFERROR(VLOOKUP($P58,#REF!,17,0),0)</f>
        <v>0</v>
      </c>
      <c r="J58" s="389">
        <f>_xlfn.IFERROR(VLOOKUP($P58,#REF!,17,0),0)</f>
        <v>0</v>
      </c>
      <c r="K58" s="389">
        <f>_xlfn.IFERROR(VLOOKUP($P58,#REF!,17,0),0)</f>
        <v>0</v>
      </c>
      <c r="L58" s="389">
        <f>_xlfn.IFERROR(VLOOKUP($P58,#REF!,17,0),0)</f>
        <v>0</v>
      </c>
      <c r="M58" s="389">
        <f>_xlfn.IFERROR(VLOOKUP($P58,#REF!,17,0),0)</f>
        <v>0</v>
      </c>
      <c r="N58" s="389">
        <f>_xlfn.IFERROR(VLOOKUP($P58,#REF!,17,0),0)</f>
        <v>0</v>
      </c>
      <c r="O58" s="389">
        <f>_xlfn.IFERROR(VLOOKUP($P58,#REF!,17,0),0)</f>
        <v>0</v>
      </c>
      <c r="P58" s="5" t="str">
        <f>CONCATENATE(LOWER(B58)," ",LOWER(C58))</f>
        <v> </v>
      </c>
    </row>
    <row r="59" spans="1:16" s="5" customFormat="1" ht="12.75">
      <c r="A59" s="384">
        <v>3</v>
      </c>
      <c r="B59" s="385"/>
      <c r="C59" s="385"/>
      <c r="D59" s="386" t="s">
        <v>22</v>
      </c>
      <c r="E59" s="390">
        <f>SUM(F59:O59)-SMALL(F59:O59,2)-MIN(F59:O59)</f>
        <v>0</v>
      </c>
      <c r="F59" s="388">
        <f>_xlfn.IFERROR(VLOOKUP($P59,'Rd1 PI'!$C$2:$AC$21,17,0),0)</f>
        <v>0</v>
      </c>
      <c r="G59" s="389">
        <f>_xlfn.IFERROR(VLOOKUP($P59,'Rd2 Winton'!$C$2:$AC$24,17,0),0)</f>
        <v>0</v>
      </c>
      <c r="H59" s="389">
        <f>_xlfn.IFERROR(VLOOKUP($P59,#REF!,17,0),0)</f>
        <v>0</v>
      </c>
      <c r="I59" s="389">
        <f>_xlfn.IFERROR(VLOOKUP($P59,#REF!,17,0),0)</f>
        <v>0</v>
      </c>
      <c r="J59" s="389">
        <f>_xlfn.IFERROR(VLOOKUP($P59,#REF!,17,0),0)</f>
        <v>0</v>
      </c>
      <c r="K59" s="389">
        <f>_xlfn.IFERROR(VLOOKUP($P59,#REF!,17,0),0)</f>
        <v>0</v>
      </c>
      <c r="L59" s="389">
        <f>_xlfn.IFERROR(VLOOKUP($P59,#REF!,17,0),0)</f>
        <v>0</v>
      </c>
      <c r="M59" s="389">
        <f>_xlfn.IFERROR(VLOOKUP($P59,#REF!,17,0),0)</f>
        <v>0</v>
      </c>
      <c r="N59" s="389">
        <f>_xlfn.IFERROR(VLOOKUP($P59,#REF!,17,0),0)</f>
        <v>0</v>
      </c>
      <c r="O59" s="389">
        <f>_xlfn.IFERROR(VLOOKUP($P59,#REF!,17,0),0)</f>
        <v>0</v>
      </c>
      <c r="P59" s="5" t="str">
        <f>CONCATENATE(LOWER(B59)," ",LOWER(C59))</f>
        <v> </v>
      </c>
    </row>
    <row r="60" spans="1:17" s="5" customFormat="1" ht="12.75">
      <c r="A60" s="384">
        <v>4</v>
      </c>
      <c r="B60" s="391"/>
      <c r="C60" s="391"/>
      <c r="D60" s="386" t="s">
        <v>22</v>
      </c>
      <c r="E60" s="390">
        <f>SUM(F60:O60)-SMALL(F60:O60,2)-MIN(F60:O60)</f>
        <v>0</v>
      </c>
      <c r="F60" s="388">
        <f>_xlfn.IFERROR(VLOOKUP($P60,'Rd1 PI'!$C$2:$AC$21,17,0),0)</f>
        <v>0</v>
      </c>
      <c r="G60" s="389">
        <f>_xlfn.IFERROR(VLOOKUP($P60,'Rd2 Winton'!$C$2:$AC$24,17,0),0)</f>
        <v>0</v>
      </c>
      <c r="H60" s="389">
        <f>_xlfn.IFERROR(VLOOKUP($P60,#REF!,17,0),0)</f>
        <v>0</v>
      </c>
      <c r="I60" s="389">
        <f>_xlfn.IFERROR(VLOOKUP($P60,#REF!,17,0),0)</f>
        <v>0</v>
      </c>
      <c r="J60" s="389">
        <f>_xlfn.IFERROR(VLOOKUP($P60,#REF!,17,0),0)</f>
        <v>0</v>
      </c>
      <c r="K60" s="389">
        <f>_xlfn.IFERROR(VLOOKUP($P60,#REF!,17,0),0)</f>
        <v>0</v>
      </c>
      <c r="L60" s="389">
        <f>_xlfn.IFERROR(VLOOKUP($P60,#REF!,17,0),0)</f>
        <v>0</v>
      </c>
      <c r="M60" s="389">
        <f>_xlfn.IFERROR(VLOOKUP($P60,#REF!,17,0),0)</f>
        <v>0</v>
      </c>
      <c r="N60" s="389">
        <f>_xlfn.IFERROR(VLOOKUP($P60,#REF!,17,0),0)</f>
        <v>0</v>
      </c>
      <c r="O60" s="389">
        <f>_xlfn.IFERROR(VLOOKUP($P60,#REF!,17,0),0)</f>
        <v>0</v>
      </c>
      <c r="P60" s="5" t="str">
        <f>CONCATENATE(LOWER(B60)," ",LOWER(C60))</f>
        <v> </v>
      </c>
      <c r="Q60" s="15"/>
    </row>
    <row r="61" spans="1:17" s="5" customFormat="1" ht="13.5" thickBot="1">
      <c r="A61" s="392">
        <v>5</v>
      </c>
      <c r="B61" s="391"/>
      <c r="C61" s="391"/>
      <c r="D61" s="386" t="s">
        <v>22</v>
      </c>
      <c r="E61" s="393">
        <f>SUM(F61:O61)-SMALL(F61:O61,2)-MIN(F61:O61)</f>
        <v>0</v>
      </c>
      <c r="F61" s="388">
        <f>_xlfn.IFERROR(VLOOKUP($P61,'Rd1 PI'!$C$2:$AC$21,17,0),0)</f>
        <v>0</v>
      </c>
      <c r="G61" s="389">
        <f>_xlfn.IFERROR(VLOOKUP($P61,'Rd2 Winton'!$C$2:$AC$24,17,0),0)</f>
        <v>0</v>
      </c>
      <c r="H61" s="389">
        <f>_xlfn.IFERROR(VLOOKUP($P61,#REF!,17,0),0)</f>
        <v>0</v>
      </c>
      <c r="I61" s="389">
        <f>_xlfn.IFERROR(VLOOKUP($P61,#REF!,17,0),0)</f>
        <v>0</v>
      </c>
      <c r="J61" s="389">
        <f>_xlfn.IFERROR(VLOOKUP($P61,#REF!,17,0),0)</f>
        <v>0</v>
      </c>
      <c r="K61" s="389">
        <f>_xlfn.IFERROR(VLOOKUP($P61,#REF!,17,0),0)</f>
        <v>0</v>
      </c>
      <c r="L61" s="389">
        <f>_xlfn.IFERROR(VLOOKUP($P61,#REF!,17,0),0)</f>
        <v>0</v>
      </c>
      <c r="M61" s="389">
        <f>_xlfn.IFERROR(VLOOKUP($P61,#REF!,17,0),0)</f>
        <v>0</v>
      </c>
      <c r="N61" s="389">
        <f>_xlfn.IFERROR(VLOOKUP($P61,#REF!,17,0),0)</f>
        <v>0</v>
      </c>
      <c r="O61" s="389">
        <f>_xlfn.IFERROR(VLOOKUP($P61,#REF!,17,0),0)</f>
        <v>0</v>
      </c>
      <c r="P61" s="5" t="str">
        <f>CONCATENATE(LOWER(B61)," ",LOWER(C61))</f>
        <v> </v>
      </c>
      <c r="Q61" s="15"/>
    </row>
    <row r="62" spans="1:17" s="5" customFormat="1" ht="12.75">
      <c r="A62" s="13"/>
      <c r="B62" s="22"/>
      <c r="C62" s="22"/>
      <c r="D62" s="4"/>
      <c r="E62" s="24"/>
      <c r="F62" s="4"/>
      <c r="G62" s="4"/>
      <c r="I62" s="4"/>
      <c r="J62" s="4"/>
      <c r="K62" s="4"/>
      <c r="L62" s="4"/>
      <c r="M62" s="4"/>
      <c r="N62" s="4"/>
      <c r="O62" s="4"/>
      <c r="P62" s="14"/>
      <c r="Q62" s="15"/>
    </row>
    <row r="63" spans="1:15" s="5" customFormat="1" ht="13.5" thickBot="1">
      <c r="A63" s="45" t="s">
        <v>19</v>
      </c>
      <c r="B63" s="46"/>
      <c r="C63" s="46"/>
      <c r="D63" s="15"/>
      <c r="E63" s="24"/>
      <c r="F63" s="4"/>
      <c r="G63" s="4"/>
      <c r="I63" s="4"/>
      <c r="J63" s="4"/>
      <c r="K63" s="4"/>
      <c r="L63" s="4"/>
      <c r="M63" s="4"/>
      <c r="N63" s="4"/>
      <c r="O63" s="4"/>
    </row>
    <row r="64" spans="1:16" s="5" customFormat="1" ht="12.75">
      <c r="A64" s="42">
        <v>1</v>
      </c>
      <c r="B64" s="102" t="s">
        <v>31</v>
      </c>
      <c r="C64" s="102" t="s">
        <v>32</v>
      </c>
      <c r="D64" s="83" t="s">
        <v>21</v>
      </c>
      <c r="E64" s="90">
        <f>SUM(F64:O64)-SMALL(F64:O64,2)-MIN(F64:O64)</f>
        <v>200</v>
      </c>
      <c r="F64" s="163">
        <f>_xlfn.IFERROR(VLOOKUP($P64,'Rd1 PI'!$C$2:$AC$21,17,0),0)</f>
        <v>100</v>
      </c>
      <c r="G64" s="43">
        <f>_xlfn.IFERROR(VLOOKUP($P64,'Rd2 Winton'!$C$2:$AC$24,17,0),0)</f>
        <v>100</v>
      </c>
      <c r="H64" s="43">
        <f>_xlfn.IFERROR(VLOOKUP($P64,#REF!,17,0),0)</f>
        <v>0</v>
      </c>
      <c r="I64" s="43">
        <f>_xlfn.IFERROR(VLOOKUP($P64,#REF!,17,0),0)</f>
        <v>0</v>
      </c>
      <c r="J64" s="43">
        <f>_xlfn.IFERROR(VLOOKUP($P64,#REF!,17,0),0)</f>
        <v>0</v>
      </c>
      <c r="K64" s="43">
        <f>_xlfn.IFERROR(VLOOKUP($P64,#REF!,17,0),0)</f>
        <v>0</v>
      </c>
      <c r="L64" s="43">
        <f>_xlfn.IFERROR(VLOOKUP($P64,#REF!,17,0),0)</f>
        <v>0</v>
      </c>
      <c r="M64" s="43">
        <f>_xlfn.IFERROR(VLOOKUP($P64,#REF!,17,0),0)</f>
        <v>0</v>
      </c>
      <c r="N64" s="43">
        <f>_xlfn.IFERROR(VLOOKUP($P64,#REF!,17,0),0)</f>
        <v>0</v>
      </c>
      <c r="O64" s="43">
        <f>_xlfn.IFERROR(VLOOKUP($P64,#REF!,17,0),0)</f>
        <v>0</v>
      </c>
      <c r="P64" s="5" t="str">
        <f>CONCATENATE(LOWER(B64)," ",LOWER(C64))</f>
        <v>noel heritage</v>
      </c>
    </row>
    <row r="65" spans="1:17" s="5" customFormat="1" ht="12.75">
      <c r="A65" s="42">
        <v>2</v>
      </c>
      <c r="B65" s="35" t="s">
        <v>113</v>
      </c>
      <c r="C65" s="35" t="s">
        <v>114</v>
      </c>
      <c r="D65" s="83" t="s">
        <v>21</v>
      </c>
      <c r="E65" s="91">
        <f>SUM(F65:O65)-SMALL(F65:O65,2)-MIN(F65:O65)</f>
        <v>150</v>
      </c>
      <c r="F65" s="163">
        <f>_xlfn.IFERROR(VLOOKUP($P65,'Rd1 PI'!$C$2:$AC$21,17,0),0)</f>
        <v>75</v>
      </c>
      <c r="G65" s="43">
        <f>_xlfn.IFERROR(VLOOKUP($P65,'Rd2 Winton'!$C$2:$AC$24,17,0),0)</f>
        <v>75</v>
      </c>
      <c r="H65" s="43">
        <f>_xlfn.IFERROR(VLOOKUP($P65,#REF!,17,0),0)</f>
        <v>0</v>
      </c>
      <c r="I65" s="43">
        <f>_xlfn.IFERROR(VLOOKUP($P65,#REF!,17,0),0)</f>
        <v>0</v>
      </c>
      <c r="J65" s="43">
        <f>_xlfn.IFERROR(VLOOKUP($P65,#REF!,17,0),0)</f>
        <v>0</v>
      </c>
      <c r="K65" s="43">
        <f>_xlfn.IFERROR(VLOOKUP($P65,#REF!,17,0),0)</f>
        <v>0</v>
      </c>
      <c r="L65" s="43">
        <f>_xlfn.IFERROR(VLOOKUP($P65,#REF!,17,0),0)</f>
        <v>0</v>
      </c>
      <c r="M65" s="43">
        <f>_xlfn.IFERROR(VLOOKUP($P65,#REF!,17,0),0)</f>
        <v>0</v>
      </c>
      <c r="N65" s="43">
        <f>_xlfn.IFERROR(VLOOKUP($P65,#REF!,17,0),0)</f>
        <v>0</v>
      </c>
      <c r="O65" s="43">
        <f>_xlfn.IFERROR(VLOOKUP($P65,#REF!,17,0),0)</f>
        <v>0</v>
      </c>
      <c r="P65" s="5" t="str">
        <f>CONCATENATE(LOWER(B65)," ",LOWER(C65))</f>
        <v>max lloyd</v>
      </c>
      <c r="Q65" s="15"/>
    </row>
    <row r="66" spans="1:16" s="5" customFormat="1" ht="12.75">
      <c r="A66" s="42">
        <v>3</v>
      </c>
      <c r="B66" s="102" t="s">
        <v>62</v>
      </c>
      <c r="C66" s="102" t="s">
        <v>59</v>
      </c>
      <c r="D66" s="83" t="s">
        <v>21</v>
      </c>
      <c r="E66" s="91">
        <f>SUM(F66:O66)-SMALL(F66:O66,2)-MIN(F66:O66)</f>
        <v>60</v>
      </c>
      <c r="F66" s="163">
        <f>_xlfn.IFERROR(VLOOKUP($P66,'Rd1 PI'!$C$2:$AC$21,17,0),0)</f>
        <v>60</v>
      </c>
      <c r="G66" s="43">
        <f>_xlfn.IFERROR(VLOOKUP($P66,'Rd2 Winton'!$C$2:$AC$24,17,0),0)</f>
        <v>0</v>
      </c>
      <c r="H66" s="43">
        <f>_xlfn.IFERROR(VLOOKUP($P66,#REF!,17,0),0)</f>
        <v>0</v>
      </c>
      <c r="I66" s="43">
        <f>_xlfn.IFERROR(VLOOKUP($P66,#REF!,17,0),0)</f>
        <v>0</v>
      </c>
      <c r="J66" s="43">
        <f>_xlfn.IFERROR(VLOOKUP($P66,#REF!,17,0),0)</f>
        <v>0</v>
      </c>
      <c r="K66" s="43">
        <f>_xlfn.IFERROR(VLOOKUP($P66,#REF!,17,0),0)</f>
        <v>0</v>
      </c>
      <c r="L66" s="43">
        <f>_xlfn.IFERROR(VLOOKUP($P66,#REF!,17,0),0)</f>
        <v>0</v>
      </c>
      <c r="M66" s="43">
        <f>_xlfn.IFERROR(VLOOKUP($P66,#REF!,17,0),0)</f>
        <v>0</v>
      </c>
      <c r="N66" s="43">
        <f>_xlfn.IFERROR(VLOOKUP($P66,#REF!,17,0),0)</f>
        <v>0</v>
      </c>
      <c r="O66" s="43">
        <f>_xlfn.IFERROR(VLOOKUP($P66,#REF!,17,0),0)</f>
        <v>0</v>
      </c>
      <c r="P66" s="5" t="str">
        <f>CONCATENATE(LOWER(B66)," ",LOWER(C66))</f>
        <v>gareth pedley</v>
      </c>
    </row>
    <row r="67" spans="1:17" ht="12.75">
      <c r="A67" s="42">
        <v>4</v>
      </c>
      <c r="B67" s="35"/>
      <c r="C67" s="102"/>
      <c r="D67" s="83" t="s">
        <v>21</v>
      </c>
      <c r="E67" s="91">
        <f>SUM(F67:O67)-SMALL(F67:O67,2)-MIN(F67:O67)</f>
        <v>0</v>
      </c>
      <c r="F67" s="163">
        <f>_xlfn.IFERROR(VLOOKUP($P67,'Rd1 PI'!$C$2:$AC$21,17,0),0)</f>
        <v>0</v>
      </c>
      <c r="G67" s="43">
        <f>_xlfn.IFERROR(VLOOKUP($P67,'Rd2 Winton'!$C$2:$AC$24,17,0),0)</f>
        <v>0</v>
      </c>
      <c r="H67" s="43">
        <f>_xlfn.IFERROR(VLOOKUP($P67,#REF!,17,0),0)</f>
        <v>0</v>
      </c>
      <c r="I67" s="43">
        <f>_xlfn.IFERROR(VLOOKUP($P67,#REF!,17,0),0)</f>
        <v>0</v>
      </c>
      <c r="J67" s="43">
        <f>_xlfn.IFERROR(VLOOKUP($P67,#REF!,17,0),0)</f>
        <v>0</v>
      </c>
      <c r="K67" s="43">
        <f>_xlfn.IFERROR(VLOOKUP($P67,#REF!,17,0),0)</f>
        <v>0</v>
      </c>
      <c r="L67" s="43">
        <f>_xlfn.IFERROR(VLOOKUP($P67,#REF!,17,0),0)</f>
        <v>0</v>
      </c>
      <c r="M67" s="43">
        <f>_xlfn.IFERROR(VLOOKUP($P67,#REF!,17,0),0)</f>
        <v>0</v>
      </c>
      <c r="N67" s="43">
        <f>_xlfn.IFERROR(VLOOKUP($P67,#REF!,17,0),0)</f>
        <v>0</v>
      </c>
      <c r="O67" s="43">
        <f>_xlfn.IFERROR(VLOOKUP($P67,#REF!,17,0),0)</f>
        <v>0</v>
      </c>
      <c r="P67" s="5" t="str">
        <f>CONCATENATE(LOWER(B67)," ",LOWER(C67))</f>
        <v> </v>
      </c>
      <c r="Q67" s="5"/>
    </row>
    <row r="68" spans="1:17" ht="13.5" thickBot="1">
      <c r="A68" s="44">
        <v>5</v>
      </c>
      <c r="B68" s="102"/>
      <c r="C68" s="102"/>
      <c r="D68" s="83" t="s">
        <v>21</v>
      </c>
      <c r="E68" s="92">
        <f>SUM(F68:O68)-SMALL(F68:O68,2)-MIN(F68:O68)</f>
        <v>0</v>
      </c>
      <c r="F68" s="163">
        <f>_xlfn.IFERROR(VLOOKUP($P68,'Rd1 PI'!$C$2:$AC$21,17,0),0)</f>
        <v>0</v>
      </c>
      <c r="G68" s="43">
        <f>_xlfn.IFERROR(VLOOKUP($P68,'Rd2 Winton'!$C$2:$AC$24,17,0),0)</f>
        <v>0</v>
      </c>
      <c r="H68" s="43">
        <f>_xlfn.IFERROR(VLOOKUP($P68,#REF!,17,0),0)</f>
        <v>0</v>
      </c>
      <c r="I68" s="43">
        <f>_xlfn.IFERROR(VLOOKUP($P68,#REF!,17,0),0)</f>
        <v>0</v>
      </c>
      <c r="J68" s="43">
        <f>_xlfn.IFERROR(VLOOKUP($P68,#REF!,17,0),0)</f>
        <v>0</v>
      </c>
      <c r="K68" s="43">
        <f>_xlfn.IFERROR(VLOOKUP($P68,#REF!,17,0),0)</f>
        <v>0</v>
      </c>
      <c r="L68" s="43">
        <f>_xlfn.IFERROR(VLOOKUP($P68,#REF!,17,0),0)</f>
        <v>0</v>
      </c>
      <c r="M68" s="43">
        <f>_xlfn.IFERROR(VLOOKUP($P68,#REF!,17,0),0)</f>
        <v>0</v>
      </c>
      <c r="N68" s="43">
        <f>_xlfn.IFERROR(VLOOKUP($P68,#REF!,17,0),0)</f>
        <v>0</v>
      </c>
      <c r="O68" s="43">
        <f>_xlfn.IFERROR(VLOOKUP($P68,#REF!,17,0),0)</f>
        <v>0</v>
      </c>
      <c r="P68" s="5" t="str">
        <f>CONCATENATE(LOWER(B68)," ",LOWER(C68))</f>
        <v> </v>
      </c>
      <c r="Q68" s="15"/>
    </row>
    <row r="69" spans="1:17" ht="12.75">
      <c r="A69" s="13"/>
      <c r="B69" s="22"/>
      <c r="C69" s="22"/>
      <c r="D69" s="4"/>
      <c r="E69" s="24"/>
      <c r="F69" s="4"/>
      <c r="G69" s="4"/>
      <c r="H69" s="1"/>
      <c r="I69" s="4"/>
      <c r="J69" s="4"/>
      <c r="K69" s="4"/>
      <c r="L69" s="4"/>
      <c r="M69" s="4"/>
      <c r="N69" s="4"/>
      <c r="O69" s="4"/>
      <c r="P69" s="14"/>
      <c r="Q69" s="15"/>
    </row>
    <row r="70" spans="1:15" s="5" customFormat="1" ht="13.5" thickBot="1">
      <c r="A70" s="346" t="s">
        <v>48</v>
      </c>
      <c r="B70" s="292"/>
      <c r="C70" s="292"/>
      <c r="D70" s="15"/>
      <c r="E70" s="24"/>
      <c r="F70" s="4"/>
      <c r="G70" s="4"/>
      <c r="I70" s="4"/>
      <c r="J70" s="4"/>
      <c r="K70" s="4"/>
      <c r="L70" s="4"/>
      <c r="M70" s="4"/>
      <c r="N70" s="4"/>
      <c r="O70" s="4"/>
    </row>
    <row r="71" spans="1:16" s="5" customFormat="1" ht="12.75">
      <c r="A71" s="347">
        <v>1</v>
      </c>
      <c r="B71" s="343" t="s">
        <v>70</v>
      </c>
      <c r="C71" s="343" t="s">
        <v>71</v>
      </c>
      <c r="D71" s="348" t="s">
        <v>51</v>
      </c>
      <c r="E71" s="349">
        <f>SUM(F71:O71)-SMALL(F71:O71,2)-MIN(F71:O71)</f>
        <v>200</v>
      </c>
      <c r="F71" s="345">
        <f>_xlfn.IFERROR(VLOOKUP($P71,'Rd1 PI'!$C$2:$AC$21,17,0),0)</f>
        <v>100</v>
      </c>
      <c r="G71" s="344">
        <f>_xlfn.IFERROR(VLOOKUP($P71,'Rd2 Winton'!$C$2:$AC$24,17,0),0)</f>
        <v>100</v>
      </c>
      <c r="H71" s="344">
        <f>_xlfn.IFERROR(VLOOKUP($P71,#REF!,17,0),0)</f>
        <v>0</v>
      </c>
      <c r="I71" s="344">
        <f>_xlfn.IFERROR(VLOOKUP($P71,#REF!,17,0),0)</f>
        <v>0</v>
      </c>
      <c r="J71" s="344">
        <f>_xlfn.IFERROR(VLOOKUP($P71,#REF!,17,0),0)</f>
        <v>0</v>
      </c>
      <c r="K71" s="344">
        <f>_xlfn.IFERROR(VLOOKUP($P71,#REF!,17,0),0)</f>
        <v>0</v>
      </c>
      <c r="L71" s="344">
        <f>_xlfn.IFERROR(VLOOKUP($P71,#REF!,17,0),0)</f>
        <v>0</v>
      </c>
      <c r="M71" s="344">
        <f>_xlfn.IFERROR(VLOOKUP($P71,#REF!,17,0),0)</f>
        <v>0</v>
      </c>
      <c r="N71" s="344">
        <f>_xlfn.IFERROR(VLOOKUP($P71,#REF!,17,0),0)</f>
        <v>0</v>
      </c>
      <c r="O71" s="344">
        <f>_xlfn.IFERROR(VLOOKUP($P71,#REF!,17,0),0)</f>
        <v>0</v>
      </c>
      <c r="P71" s="5" t="str">
        <f>CONCATENATE(LOWER(B71)," ",LOWER(C71))</f>
        <v>gavin newman</v>
      </c>
    </row>
    <row r="72" spans="1:16" s="5" customFormat="1" ht="12.75">
      <c r="A72" s="347">
        <v>2</v>
      </c>
      <c r="B72" s="343"/>
      <c r="C72" s="343"/>
      <c r="D72" s="348" t="s">
        <v>51</v>
      </c>
      <c r="E72" s="350">
        <f>SUM(F72:O72)-SMALL(F72:O72,2)-MIN(F72:O72)</f>
        <v>0</v>
      </c>
      <c r="F72" s="345">
        <f>_xlfn.IFERROR(VLOOKUP($P72,'Rd1 PI'!$C$2:$AC$21,17,0),0)</f>
        <v>0</v>
      </c>
      <c r="G72" s="344">
        <f>_xlfn.IFERROR(VLOOKUP($P72,'Rd2 Winton'!$C$2:$AC$24,17,0),0)</f>
        <v>0</v>
      </c>
      <c r="H72" s="344">
        <f>_xlfn.IFERROR(VLOOKUP($P72,#REF!,17,0),0)</f>
        <v>0</v>
      </c>
      <c r="I72" s="344">
        <f>_xlfn.IFERROR(VLOOKUP($P72,#REF!,17,0),0)</f>
        <v>0</v>
      </c>
      <c r="J72" s="344">
        <f>_xlfn.IFERROR(VLOOKUP($P72,#REF!,17,0),0)</f>
        <v>0</v>
      </c>
      <c r="K72" s="344">
        <f>_xlfn.IFERROR(VLOOKUP($P72,#REF!,17,0),0)</f>
        <v>0</v>
      </c>
      <c r="L72" s="344">
        <f>_xlfn.IFERROR(VLOOKUP($P72,#REF!,17,0),0)</f>
        <v>0</v>
      </c>
      <c r="M72" s="344">
        <f>_xlfn.IFERROR(VLOOKUP($P72,#REF!,17,0),0)</f>
        <v>0</v>
      </c>
      <c r="N72" s="344">
        <f>_xlfn.IFERROR(VLOOKUP($P72,#REF!,17,0),0)</f>
        <v>0</v>
      </c>
      <c r="O72" s="344">
        <f>_xlfn.IFERROR(VLOOKUP($P72,#REF!,17,0),0)</f>
        <v>0</v>
      </c>
      <c r="P72" s="5" t="str">
        <f>CONCATENATE(LOWER(B72)," ",LOWER(C72))</f>
        <v> </v>
      </c>
    </row>
    <row r="73" spans="1:16" s="5" customFormat="1" ht="12.75">
      <c r="A73" s="347">
        <v>3</v>
      </c>
      <c r="B73" s="343"/>
      <c r="C73" s="343"/>
      <c r="D73" s="348" t="s">
        <v>51</v>
      </c>
      <c r="E73" s="350">
        <f>SUM(F73:O73)-SMALL(F73:O73,2)-MIN(F73:O73)</f>
        <v>0</v>
      </c>
      <c r="F73" s="345">
        <f>_xlfn.IFERROR(VLOOKUP($P73,'Rd1 PI'!$C$2:$AC$21,17,0),0)</f>
        <v>0</v>
      </c>
      <c r="G73" s="344">
        <f>_xlfn.IFERROR(VLOOKUP($P73,'Rd2 Winton'!$C$2:$AC$24,17,0),0)</f>
        <v>0</v>
      </c>
      <c r="H73" s="344">
        <f>_xlfn.IFERROR(VLOOKUP($P73,#REF!,17,0),0)</f>
        <v>0</v>
      </c>
      <c r="I73" s="344">
        <f>_xlfn.IFERROR(VLOOKUP($P73,#REF!,17,0),0)</f>
        <v>0</v>
      </c>
      <c r="J73" s="344">
        <f>_xlfn.IFERROR(VLOOKUP($P73,#REF!,17,0),0)</f>
        <v>0</v>
      </c>
      <c r="K73" s="344">
        <f>_xlfn.IFERROR(VLOOKUP($P73,#REF!,17,0),0)</f>
        <v>0</v>
      </c>
      <c r="L73" s="344">
        <f>_xlfn.IFERROR(VLOOKUP($P73,#REF!,17,0),0)</f>
        <v>0</v>
      </c>
      <c r="M73" s="344">
        <f>_xlfn.IFERROR(VLOOKUP($P73,#REF!,17,0),0)</f>
        <v>0</v>
      </c>
      <c r="N73" s="344">
        <f>_xlfn.IFERROR(VLOOKUP($P73,#REF!,17,0),0)</f>
        <v>0</v>
      </c>
      <c r="O73" s="344">
        <f>_xlfn.IFERROR(VLOOKUP($P73,#REF!,17,0),0)</f>
        <v>0</v>
      </c>
      <c r="P73" s="5" t="str">
        <f>CONCATENATE(LOWER(B73)," ",LOWER(C73))</f>
        <v> </v>
      </c>
    </row>
    <row r="74" spans="1:16" s="5" customFormat="1" ht="12.75">
      <c r="A74" s="347">
        <v>4</v>
      </c>
      <c r="B74" s="343"/>
      <c r="C74" s="343"/>
      <c r="D74" s="348" t="s">
        <v>51</v>
      </c>
      <c r="E74" s="350">
        <f>SUM(F74:O74)-SMALL(F74:O74,2)-MIN(F74:O74)</f>
        <v>0</v>
      </c>
      <c r="F74" s="345">
        <f>_xlfn.IFERROR(VLOOKUP($P74,'Rd1 PI'!$C$2:$AC$21,17,0),0)</f>
        <v>0</v>
      </c>
      <c r="G74" s="344">
        <f>_xlfn.IFERROR(VLOOKUP($P74,'Rd2 Winton'!$C$2:$AC$24,17,0),0)</f>
        <v>0</v>
      </c>
      <c r="H74" s="344">
        <f>_xlfn.IFERROR(VLOOKUP($P74,#REF!,17,0),0)</f>
        <v>0</v>
      </c>
      <c r="I74" s="344">
        <f>_xlfn.IFERROR(VLOOKUP($P74,#REF!,17,0),0)</f>
        <v>0</v>
      </c>
      <c r="J74" s="344">
        <f>_xlfn.IFERROR(VLOOKUP($P74,#REF!,17,0),0)</f>
        <v>0</v>
      </c>
      <c r="K74" s="344">
        <f>_xlfn.IFERROR(VLOOKUP($P74,#REF!,17,0),0)</f>
        <v>0</v>
      </c>
      <c r="L74" s="344">
        <f>_xlfn.IFERROR(VLOOKUP($P74,#REF!,17,0),0)</f>
        <v>0</v>
      </c>
      <c r="M74" s="344">
        <f>_xlfn.IFERROR(VLOOKUP($P74,#REF!,17,0),0)</f>
        <v>0</v>
      </c>
      <c r="N74" s="344">
        <f>_xlfn.IFERROR(VLOOKUP($P74,#REF!,17,0),0)</f>
        <v>0</v>
      </c>
      <c r="O74" s="344">
        <f>_xlfn.IFERROR(VLOOKUP($P74,#REF!,17,0),0)</f>
        <v>0</v>
      </c>
      <c r="P74" s="5" t="str">
        <f>CONCATENATE(LOWER(B74)," ",LOWER(C74))</f>
        <v> </v>
      </c>
    </row>
    <row r="75" spans="1:16" s="5" customFormat="1" ht="13.5" thickBot="1">
      <c r="A75" s="347">
        <v>5</v>
      </c>
      <c r="B75" s="343"/>
      <c r="C75" s="343"/>
      <c r="D75" s="348" t="s">
        <v>51</v>
      </c>
      <c r="E75" s="351">
        <f>SUM(F75:O75)-SMALL(F75:O75,2)-MIN(F75:O75)</f>
        <v>0</v>
      </c>
      <c r="F75" s="345">
        <f>_xlfn.IFERROR(VLOOKUP($P75,'Rd1 PI'!$C$2:$AC$21,17,0),0)</f>
        <v>0</v>
      </c>
      <c r="G75" s="344">
        <f>_xlfn.IFERROR(VLOOKUP($P75,'Rd2 Winton'!$C$2:$AC$24,17,0),0)</f>
        <v>0</v>
      </c>
      <c r="H75" s="344">
        <f>_xlfn.IFERROR(VLOOKUP($P75,#REF!,17,0),0)</f>
        <v>0</v>
      </c>
      <c r="I75" s="344">
        <f>_xlfn.IFERROR(VLOOKUP($P75,#REF!,17,0),0)</f>
        <v>0</v>
      </c>
      <c r="J75" s="344">
        <f>_xlfn.IFERROR(VLOOKUP($P75,#REF!,17,0),0)</f>
        <v>0</v>
      </c>
      <c r="K75" s="344">
        <f>_xlfn.IFERROR(VLOOKUP($P75,#REF!,17,0),0)</f>
        <v>0</v>
      </c>
      <c r="L75" s="344">
        <f>_xlfn.IFERROR(VLOOKUP($P75,#REF!,17,0),0)</f>
        <v>0</v>
      </c>
      <c r="M75" s="344">
        <f>_xlfn.IFERROR(VLOOKUP($P75,#REF!,17,0),0)</f>
        <v>0</v>
      </c>
      <c r="N75" s="344">
        <f>_xlfn.IFERROR(VLOOKUP($P75,#REF!,17,0),0)</f>
        <v>0</v>
      </c>
      <c r="O75" s="344">
        <f>_xlfn.IFERROR(VLOOKUP($P75,#REF!,17,0),0)</f>
        <v>0</v>
      </c>
      <c r="P75" s="5" t="str">
        <f>CONCATENATE(LOWER(B75)," ",LOWER(C75))</f>
        <v> </v>
      </c>
    </row>
    <row r="76" spans="1:17" ht="12.75">
      <c r="A76" s="13"/>
      <c r="B76" s="5"/>
      <c r="C76" s="5"/>
      <c r="D76" s="23"/>
      <c r="E76" s="24"/>
      <c r="F76" s="4"/>
      <c r="G76" s="4"/>
      <c r="H76" s="1"/>
      <c r="I76" s="12"/>
      <c r="J76" s="12"/>
      <c r="K76" s="12"/>
      <c r="L76" s="4"/>
      <c r="M76" s="4"/>
      <c r="N76" s="4"/>
      <c r="O76" s="4"/>
      <c r="P76" s="14"/>
      <c r="Q76" s="15"/>
    </row>
    <row r="77" spans="1:15" s="5" customFormat="1" ht="13.5" thickBot="1">
      <c r="A77" s="40" t="s">
        <v>49</v>
      </c>
      <c r="B77" s="41"/>
      <c r="C77" s="41"/>
      <c r="D77" s="15"/>
      <c r="E77" s="24"/>
      <c r="F77" s="4"/>
      <c r="G77" s="4"/>
      <c r="I77" s="4"/>
      <c r="J77" s="4"/>
      <c r="K77" s="4"/>
      <c r="L77" s="4"/>
      <c r="M77" s="4"/>
      <c r="N77" s="4"/>
      <c r="O77" s="4"/>
    </row>
    <row r="78" spans="1:16" s="5" customFormat="1" ht="12.75">
      <c r="A78" s="37">
        <v>1</v>
      </c>
      <c r="B78" s="114" t="s">
        <v>187</v>
      </c>
      <c r="C78" s="114" t="s">
        <v>188</v>
      </c>
      <c r="D78" s="38" t="s">
        <v>52</v>
      </c>
      <c r="E78" s="93">
        <f>SUM(F78:O78)-SMALL(F78:O78,2)-MIN(F78:O78)</f>
        <v>100</v>
      </c>
      <c r="F78" s="290">
        <f>_xlfn.IFERROR(VLOOKUP($P78,'Rd1 PI'!$C$2:$AC$21,17,0),0)</f>
        <v>0</v>
      </c>
      <c r="G78" s="39">
        <f>_xlfn.IFERROR(VLOOKUP($P78,'Rd2 Winton'!$C$2:$AC$24,17,0),0)</f>
        <v>100</v>
      </c>
      <c r="H78" s="39">
        <f>_xlfn.IFERROR(VLOOKUP($P78,#REF!,17,0),0)</f>
        <v>0</v>
      </c>
      <c r="I78" s="39">
        <f>_xlfn.IFERROR(VLOOKUP($P78,#REF!,17,0),0)</f>
        <v>0</v>
      </c>
      <c r="J78" s="39">
        <f>_xlfn.IFERROR(VLOOKUP($P78,#REF!,17,0),0)</f>
        <v>0</v>
      </c>
      <c r="K78" s="39">
        <f>_xlfn.IFERROR(VLOOKUP($P78,#REF!,17,0),0)</f>
        <v>0</v>
      </c>
      <c r="L78" s="39">
        <f>_xlfn.IFERROR(VLOOKUP($P78,#REF!,17,0),0)</f>
        <v>0</v>
      </c>
      <c r="M78" s="39">
        <f>_xlfn.IFERROR(VLOOKUP($P78,#REF!,17,0),0)</f>
        <v>0</v>
      </c>
      <c r="N78" s="39">
        <f>_xlfn.IFERROR(VLOOKUP($P78,#REF!,17,0),0)</f>
        <v>0</v>
      </c>
      <c r="O78" s="39">
        <f>_xlfn.IFERROR(VLOOKUP($P78,#REF!,17,0),0)</f>
        <v>0</v>
      </c>
      <c r="P78" s="5" t="str">
        <f>CONCATENATE(LOWER(B78)," ",LOWER(C78))</f>
        <v>randy stagno navarra</v>
      </c>
    </row>
    <row r="79" spans="1:16" s="5" customFormat="1" ht="12.75">
      <c r="A79" s="37">
        <v>2</v>
      </c>
      <c r="B79" s="114" t="s">
        <v>189</v>
      </c>
      <c r="C79" s="114" t="s">
        <v>190</v>
      </c>
      <c r="D79" s="38" t="s">
        <v>52</v>
      </c>
      <c r="E79" s="94">
        <f>SUM(F79:O79)-SMALL(F79:O79,2)-MIN(F79:O79)</f>
        <v>75</v>
      </c>
      <c r="F79" s="290">
        <f>_xlfn.IFERROR(VLOOKUP($P79,'Rd1 PI'!$C$2:$AC$21,17,0),0)</f>
        <v>0</v>
      </c>
      <c r="G79" s="39">
        <f>_xlfn.IFERROR(VLOOKUP($P79,'Rd2 Winton'!$C$2:$AC$24,17,0),0)</f>
        <v>75</v>
      </c>
      <c r="H79" s="39">
        <f>_xlfn.IFERROR(VLOOKUP($P79,#REF!,17,0),0)</f>
        <v>0</v>
      </c>
      <c r="I79" s="39">
        <f>_xlfn.IFERROR(VLOOKUP($P79,#REF!,17,0),0)</f>
        <v>0</v>
      </c>
      <c r="J79" s="39">
        <f>_xlfn.IFERROR(VLOOKUP($P79,#REF!,17,0),0)</f>
        <v>0</v>
      </c>
      <c r="K79" s="39">
        <f>_xlfn.IFERROR(VLOOKUP($P79,#REF!,17,0),0)</f>
        <v>0</v>
      </c>
      <c r="L79" s="39">
        <f>_xlfn.IFERROR(VLOOKUP($P79,#REF!,17,0),0)</f>
        <v>0</v>
      </c>
      <c r="M79" s="39">
        <f>_xlfn.IFERROR(VLOOKUP($P79,#REF!,17,0),0)</f>
        <v>0</v>
      </c>
      <c r="N79" s="39">
        <f>_xlfn.IFERROR(VLOOKUP($P79,#REF!,17,0),0)</f>
        <v>0</v>
      </c>
      <c r="O79" s="39">
        <f>_xlfn.IFERROR(VLOOKUP($P79,#REF!,17,0),0)</f>
        <v>0</v>
      </c>
      <c r="P79" s="5" t="str">
        <f>CONCATENATE(LOWER(B79)," ",LOWER(C79))</f>
        <v>alan conrad</v>
      </c>
    </row>
    <row r="80" spans="1:16" s="5" customFormat="1" ht="12.75">
      <c r="A80" s="37">
        <v>3</v>
      </c>
      <c r="B80" s="114"/>
      <c r="C80" s="114"/>
      <c r="D80" s="38" t="s">
        <v>52</v>
      </c>
      <c r="E80" s="94">
        <f>SUM(F80:O80)-SMALL(F80:O80,2)-MIN(F80:O80)</f>
        <v>0</v>
      </c>
      <c r="F80" s="290">
        <f>_xlfn.IFERROR(VLOOKUP($P80,'Rd1 PI'!$C$2:$AC$21,17,0),0)</f>
        <v>0</v>
      </c>
      <c r="G80" s="39">
        <f>_xlfn.IFERROR(VLOOKUP($P80,'Rd2 Winton'!$C$2:$AC$24,17,0),0)</f>
        <v>0</v>
      </c>
      <c r="H80" s="39">
        <f>_xlfn.IFERROR(VLOOKUP($P80,#REF!,17,0),0)</f>
        <v>0</v>
      </c>
      <c r="I80" s="39">
        <f>_xlfn.IFERROR(VLOOKUP($P80,#REF!,17,0),0)</f>
        <v>0</v>
      </c>
      <c r="J80" s="39">
        <f>_xlfn.IFERROR(VLOOKUP($P80,#REF!,17,0),0)</f>
        <v>0</v>
      </c>
      <c r="K80" s="39">
        <f>_xlfn.IFERROR(VLOOKUP($P80,#REF!,17,0),0)</f>
        <v>0</v>
      </c>
      <c r="L80" s="39">
        <f>_xlfn.IFERROR(VLOOKUP($P80,#REF!,17,0),0)</f>
        <v>0</v>
      </c>
      <c r="M80" s="39">
        <f>_xlfn.IFERROR(VLOOKUP($P80,#REF!,17,0),0)</f>
        <v>0</v>
      </c>
      <c r="N80" s="39">
        <f>_xlfn.IFERROR(VLOOKUP($P80,#REF!,17,0),0)</f>
        <v>0</v>
      </c>
      <c r="O80" s="39">
        <f>_xlfn.IFERROR(VLOOKUP($P80,#REF!,17,0),0)</f>
        <v>0</v>
      </c>
      <c r="P80" s="5" t="str">
        <f>CONCATENATE(LOWER(B80)," ",LOWER(C80))</f>
        <v> </v>
      </c>
    </row>
    <row r="81" spans="1:16" s="5" customFormat="1" ht="12.75">
      <c r="A81" s="37">
        <v>4</v>
      </c>
      <c r="B81" s="114"/>
      <c r="C81" s="114"/>
      <c r="D81" s="38" t="s">
        <v>52</v>
      </c>
      <c r="E81" s="94">
        <f>SUM(F81:O81)-SMALL(F81:O81,2)-MIN(F81:O81)</f>
        <v>0</v>
      </c>
      <c r="F81" s="290">
        <f>_xlfn.IFERROR(VLOOKUP($P81,'Rd1 PI'!$C$2:$AC$21,17,0),0)</f>
        <v>0</v>
      </c>
      <c r="G81" s="39">
        <f>_xlfn.IFERROR(VLOOKUP($P81,'Rd2 Winton'!$C$2:$AC$24,17,0),0)</f>
        <v>0</v>
      </c>
      <c r="H81" s="39">
        <f>_xlfn.IFERROR(VLOOKUP($P81,#REF!,17,0),0)</f>
        <v>0</v>
      </c>
      <c r="I81" s="39">
        <f>_xlfn.IFERROR(VLOOKUP($P81,#REF!,17,0),0)</f>
        <v>0</v>
      </c>
      <c r="J81" s="39">
        <f>_xlfn.IFERROR(VLOOKUP($P81,#REF!,17,0),0)</f>
        <v>0</v>
      </c>
      <c r="K81" s="39">
        <f>_xlfn.IFERROR(VLOOKUP($P81,#REF!,17,0),0)</f>
        <v>0</v>
      </c>
      <c r="L81" s="39">
        <f>_xlfn.IFERROR(VLOOKUP($P81,#REF!,17,0),0)</f>
        <v>0</v>
      </c>
      <c r="M81" s="39">
        <f>_xlfn.IFERROR(VLOOKUP($P81,#REF!,17,0),0)</f>
        <v>0</v>
      </c>
      <c r="N81" s="39">
        <f>_xlfn.IFERROR(VLOOKUP($P81,#REF!,17,0),0)</f>
        <v>0</v>
      </c>
      <c r="O81" s="39">
        <f>_xlfn.IFERROR(VLOOKUP($P81,#REF!,17,0),0)</f>
        <v>0</v>
      </c>
      <c r="P81" s="5" t="str">
        <f>CONCATENATE(LOWER(B81)," ",LOWER(C81))</f>
        <v> </v>
      </c>
    </row>
    <row r="82" spans="1:16" s="5" customFormat="1" ht="13.5" thickBot="1">
      <c r="A82" s="37">
        <v>5</v>
      </c>
      <c r="B82" s="114"/>
      <c r="C82" s="114"/>
      <c r="D82" s="38" t="s">
        <v>52</v>
      </c>
      <c r="E82" s="95">
        <f>SUM(F82:O82)-SMALL(F82:O82,2)-MIN(F82:O82)</f>
        <v>0</v>
      </c>
      <c r="F82" s="290">
        <f>_xlfn.IFERROR(VLOOKUP($P82,'Rd1 PI'!$C$2:$AC$21,17,0),0)</f>
        <v>0</v>
      </c>
      <c r="G82" s="39">
        <f>_xlfn.IFERROR(VLOOKUP($P82,'Rd2 Winton'!$C$2:$AC$24,17,0),0)</f>
        <v>0</v>
      </c>
      <c r="H82" s="39">
        <f>_xlfn.IFERROR(VLOOKUP($P82,#REF!,17,0),0)</f>
        <v>0</v>
      </c>
      <c r="I82" s="39">
        <f>_xlfn.IFERROR(VLOOKUP($P82,#REF!,17,0),0)</f>
        <v>0</v>
      </c>
      <c r="J82" s="39">
        <f>_xlfn.IFERROR(VLOOKUP($P82,#REF!,17,0),0)</f>
        <v>0</v>
      </c>
      <c r="K82" s="39">
        <f>_xlfn.IFERROR(VLOOKUP($P82,#REF!,17,0),0)</f>
        <v>0</v>
      </c>
      <c r="L82" s="39">
        <f>_xlfn.IFERROR(VLOOKUP($P82,#REF!,17,0),0)</f>
        <v>0</v>
      </c>
      <c r="M82" s="39">
        <f>_xlfn.IFERROR(VLOOKUP($P82,#REF!,17,0),0)</f>
        <v>0</v>
      </c>
      <c r="N82" s="39">
        <f>_xlfn.IFERROR(VLOOKUP($P82,#REF!,17,0),0)</f>
        <v>0</v>
      </c>
      <c r="O82" s="39">
        <f>_xlfn.IFERROR(VLOOKUP($P82,#REF!,17,0),0)</f>
        <v>0</v>
      </c>
      <c r="P82" s="5" t="str">
        <f>CONCATENATE(LOWER(B82)," ",LOWER(C82))</f>
        <v> </v>
      </c>
    </row>
    <row r="83" spans="1:17" ht="12.75">
      <c r="A83" s="13"/>
      <c r="B83" s="5"/>
      <c r="C83" s="5"/>
      <c r="D83" s="23"/>
      <c r="E83" s="24"/>
      <c r="F83" s="4"/>
      <c r="G83" s="4"/>
      <c r="H83" s="1"/>
      <c r="I83" s="12"/>
      <c r="J83" s="12"/>
      <c r="K83" s="12"/>
      <c r="L83" s="4"/>
      <c r="M83" s="4"/>
      <c r="N83" s="4"/>
      <c r="O83" s="4"/>
      <c r="P83" s="14"/>
      <c r="Q83" s="15"/>
    </row>
    <row r="84" spans="1:15" s="5" customFormat="1" ht="13.5" thickBot="1">
      <c r="A84" s="152" t="s">
        <v>17</v>
      </c>
      <c r="B84" s="153"/>
      <c r="C84" s="153"/>
      <c r="D84" s="15"/>
      <c r="E84" s="24"/>
      <c r="F84" s="4"/>
      <c r="G84" s="4"/>
      <c r="I84" s="4"/>
      <c r="J84" s="4"/>
      <c r="K84" s="4"/>
      <c r="L84" s="4"/>
      <c r="M84" s="4"/>
      <c r="N84" s="4"/>
      <c r="O84" s="4"/>
    </row>
    <row r="85" spans="1:16" s="5" customFormat="1" ht="12.75">
      <c r="A85" s="122">
        <v>1</v>
      </c>
      <c r="B85" s="127" t="s">
        <v>144</v>
      </c>
      <c r="C85" s="127" t="s">
        <v>145</v>
      </c>
      <c r="D85" s="123" t="s">
        <v>16</v>
      </c>
      <c r="E85" s="124">
        <f>SUM(F85:O85)-SMALL(F85:O85,2)-MIN(F85:O85)</f>
        <v>200</v>
      </c>
      <c r="F85" s="176">
        <f>_xlfn.IFERROR(VLOOKUP($P85,'Rd1 PI'!$C$2:$AC$21,17,0),0)</f>
        <v>100</v>
      </c>
      <c r="G85" s="125">
        <f>_xlfn.IFERROR(VLOOKUP($P85,'Rd2 Winton'!$C$2:$AC$24,17,0),0)</f>
        <v>100</v>
      </c>
      <c r="H85" s="125">
        <f>_xlfn.IFERROR(VLOOKUP($P85,#REF!,17,0),0)</f>
        <v>0</v>
      </c>
      <c r="I85" s="125">
        <f>_xlfn.IFERROR(VLOOKUP($P85,#REF!,17,0),0)</f>
        <v>0</v>
      </c>
      <c r="J85" s="125">
        <f>_xlfn.IFERROR(VLOOKUP($P85,#REF!,17,0),0)</f>
        <v>0</v>
      </c>
      <c r="K85" s="125">
        <f>_xlfn.IFERROR(VLOOKUP($P85,#REF!,17,0),0)</f>
        <v>0</v>
      </c>
      <c r="L85" s="125">
        <f>_xlfn.IFERROR(VLOOKUP($P85,#REF!,17,0),0)</f>
        <v>0</v>
      </c>
      <c r="M85" s="125">
        <f>_xlfn.IFERROR(VLOOKUP($P85,#REF!,17,0),0)</f>
        <v>0</v>
      </c>
      <c r="N85" s="125">
        <f>_xlfn.IFERROR(VLOOKUP($P85,#REF!,17,0),0)</f>
        <v>0</v>
      </c>
      <c r="O85" s="125">
        <f>_xlfn.IFERROR(VLOOKUP($P85,#REF!,17,0),0)</f>
        <v>0</v>
      </c>
      <c r="P85" s="5" t="str">
        <f>CONCATENATE(LOWER(B85)," ",LOWER(C85))</f>
        <v>russell garner</v>
      </c>
    </row>
    <row r="86" spans="1:16" s="5" customFormat="1" ht="12.75">
      <c r="A86" s="122">
        <v>2</v>
      </c>
      <c r="B86" s="127" t="s">
        <v>183</v>
      </c>
      <c r="C86" s="127" t="s">
        <v>184</v>
      </c>
      <c r="D86" s="123" t="s">
        <v>16</v>
      </c>
      <c r="E86" s="126">
        <f>SUM(F86:O86)-SMALL(F86:O86,2)-MIN(F86:O86)</f>
        <v>75</v>
      </c>
      <c r="F86" s="176">
        <f>_xlfn.IFERROR(VLOOKUP($P86,'Rd1 PI'!$C$2:$AC$21,17,0),0)</f>
        <v>0</v>
      </c>
      <c r="G86" s="125">
        <f>_xlfn.IFERROR(VLOOKUP($P86,'Rd2 Winton'!$C$2:$AC$24,17,0),0)</f>
        <v>75</v>
      </c>
      <c r="H86" s="125">
        <f>_xlfn.IFERROR(VLOOKUP($P86,#REF!,17,0),0)</f>
        <v>0</v>
      </c>
      <c r="I86" s="125">
        <f>_xlfn.IFERROR(VLOOKUP($P86,#REF!,17,0),0)</f>
        <v>0</v>
      </c>
      <c r="J86" s="125">
        <f>_xlfn.IFERROR(VLOOKUP($P86,#REF!,17,0),0)</f>
        <v>0</v>
      </c>
      <c r="K86" s="125">
        <f>_xlfn.IFERROR(VLOOKUP($P86,#REF!,17,0),0)</f>
        <v>0</v>
      </c>
      <c r="L86" s="125">
        <f>_xlfn.IFERROR(VLOOKUP($P86,#REF!,17,0),0)</f>
        <v>0</v>
      </c>
      <c r="M86" s="125">
        <f>_xlfn.IFERROR(VLOOKUP($P86,#REF!,17,0),0)</f>
        <v>0</v>
      </c>
      <c r="N86" s="125">
        <f>_xlfn.IFERROR(VLOOKUP($P86,#REF!,17,0),0)</f>
        <v>0</v>
      </c>
      <c r="O86" s="125">
        <f>_xlfn.IFERROR(VLOOKUP($P86,#REF!,17,0),0)</f>
        <v>0</v>
      </c>
      <c r="P86" s="5" t="str">
        <f>CONCATENATE(LOWER(B86)," ",LOWER(C86))</f>
        <v>dean watchorn</v>
      </c>
    </row>
    <row r="87" spans="1:16" s="5" customFormat="1" ht="12.75">
      <c r="A87" s="122">
        <v>3</v>
      </c>
      <c r="B87" s="127"/>
      <c r="C87" s="127"/>
      <c r="D87" s="123" t="s">
        <v>16</v>
      </c>
      <c r="E87" s="126">
        <f>SUM(F87:O87)-SMALL(F87:O87,2)-MIN(F87:O87)</f>
        <v>0</v>
      </c>
      <c r="F87" s="176">
        <f>_xlfn.IFERROR(VLOOKUP($P87,'Rd1 PI'!$C$2:$AC$21,17,0),0)</f>
        <v>0</v>
      </c>
      <c r="G87" s="125">
        <f>_xlfn.IFERROR(VLOOKUP($P87,'Rd2 Winton'!$C$2:$AC$24,17,0),0)</f>
        <v>0</v>
      </c>
      <c r="H87" s="125">
        <f>_xlfn.IFERROR(VLOOKUP($P87,#REF!,17,0),0)</f>
        <v>0</v>
      </c>
      <c r="I87" s="125">
        <f>_xlfn.IFERROR(VLOOKUP($P87,#REF!,17,0),0)</f>
        <v>0</v>
      </c>
      <c r="J87" s="125">
        <f>_xlfn.IFERROR(VLOOKUP($P87,#REF!,17,0),0)</f>
        <v>0</v>
      </c>
      <c r="K87" s="125">
        <f>_xlfn.IFERROR(VLOOKUP($P87,#REF!,17,0),0)</f>
        <v>0</v>
      </c>
      <c r="L87" s="125">
        <f>_xlfn.IFERROR(VLOOKUP($P87,#REF!,17,0),0)</f>
        <v>0</v>
      </c>
      <c r="M87" s="125">
        <f>_xlfn.IFERROR(VLOOKUP($P87,#REF!,17,0),0)</f>
        <v>0</v>
      </c>
      <c r="N87" s="125">
        <f>_xlfn.IFERROR(VLOOKUP($P87,#REF!,17,0),0)</f>
        <v>0</v>
      </c>
      <c r="O87" s="125">
        <f>_xlfn.IFERROR(VLOOKUP($P87,#REF!,17,0),0)</f>
        <v>0</v>
      </c>
      <c r="P87" s="5" t="str">
        <f>CONCATENATE(LOWER(B87)," ",LOWER(C87))</f>
        <v> </v>
      </c>
    </row>
    <row r="88" spans="1:16" s="5" customFormat="1" ht="12.75">
      <c r="A88" s="122">
        <v>4</v>
      </c>
      <c r="B88" s="127"/>
      <c r="C88" s="127"/>
      <c r="D88" s="123" t="s">
        <v>16</v>
      </c>
      <c r="E88" s="126">
        <f>SUM(F88:O88)-SMALL(F88:O88,2)-MIN(F88:O88)</f>
        <v>0</v>
      </c>
      <c r="F88" s="176">
        <f>_xlfn.IFERROR(VLOOKUP($P88,'Rd1 PI'!$C$2:$AC$21,17,0),0)</f>
        <v>0</v>
      </c>
      <c r="G88" s="125">
        <f>_xlfn.IFERROR(VLOOKUP($P88,'Rd2 Winton'!$C$2:$AC$24,17,0),0)</f>
        <v>0</v>
      </c>
      <c r="H88" s="125">
        <f>_xlfn.IFERROR(VLOOKUP($P88,#REF!,17,0),0)</f>
        <v>0</v>
      </c>
      <c r="I88" s="125">
        <f>_xlfn.IFERROR(VLOOKUP($P88,#REF!,17,0),0)</f>
        <v>0</v>
      </c>
      <c r="J88" s="125">
        <f>_xlfn.IFERROR(VLOOKUP($P88,#REF!,17,0),0)</f>
        <v>0</v>
      </c>
      <c r="K88" s="125">
        <f>_xlfn.IFERROR(VLOOKUP($P88,#REF!,17,0),0)</f>
        <v>0</v>
      </c>
      <c r="L88" s="125">
        <f>_xlfn.IFERROR(VLOOKUP($P88,#REF!,17,0),0)</f>
        <v>0</v>
      </c>
      <c r="M88" s="125">
        <f>_xlfn.IFERROR(VLOOKUP($P88,#REF!,17,0),0)</f>
        <v>0</v>
      </c>
      <c r="N88" s="125">
        <f>_xlfn.IFERROR(VLOOKUP($P88,#REF!,17,0),0)</f>
        <v>0</v>
      </c>
      <c r="O88" s="125">
        <f>_xlfn.IFERROR(VLOOKUP($P88,#REF!,17,0),0)</f>
        <v>0</v>
      </c>
      <c r="P88" s="5" t="str">
        <f>CONCATENATE(LOWER(B88)," ",LOWER(C88))</f>
        <v> </v>
      </c>
    </row>
    <row r="89" spans="1:16" s="5" customFormat="1" ht="13.5" thickBot="1">
      <c r="A89" s="122">
        <v>5</v>
      </c>
      <c r="B89" s="128"/>
      <c r="C89" s="128"/>
      <c r="D89" s="123" t="s">
        <v>16</v>
      </c>
      <c r="E89" s="129">
        <f>SUM(F89:O89)-SMALL(F89:O89,2)-MIN(F89:O89)</f>
        <v>0</v>
      </c>
      <c r="F89" s="176">
        <f>_xlfn.IFERROR(VLOOKUP($P89,'Rd1 PI'!$C$2:$AC$21,17,0),0)</f>
        <v>0</v>
      </c>
      <c r="G89" s="125">
        <f>_xlfn.IFERROR(VLOOKUP($P89,'Rd2 Winton'!$C$2:$AC$24,17,0),0)</f>
        <v>0</v>
      </c>
      <c r="H89" s="125">
        <f>_xlfn.IFERROR(VLOOKUP($P89,#REF!,17,0),0)</f>
        <v>0</v>
      </c>
      <c r="I89" s="125">
        <f>_xlfn.IFERROR(VLOOKUP($P89,#REF!,17,0),0)</f>
        <v>0</v>
      </c>
      <c r="J89" s="125">
        <f>_xlfn.IFERROR(VLOOKUP($P89,#REF!,17,0),0)</f>
        <v>0</v>
      </c>
      <c r="K89" s="125">
        <f>_xlfn.IFERROR(VLOOKUP($P89,#REF!,17,0),0)</f>
        <v>0</v>
      </c>
      <c r="L89" s="125">
        <f>_xlfn.IFERROR(VLOOKUP($P89,#REF!,17,0),0)</f>
        <v>0</v>
      </c>
      <c r="M89" s="125">
        <f>_xlfn.IFERROR(VLOOKUP($P89,#REF!,17,0),0)</f>
        <v>0</v>
      </c>
      <c r="N89" s="125">
        <f>_xlfn.IFERROR(VLOOKUP($P89,#REF!,17,0),0)</f>
        <v>0</v>
      </c>
      <c r="O89" s="125">
        <f>_xlfn.IFERROR(VLOOKUP($P89,#REF!,17,0),0)</f>
        <v>0</v>
      </c>
      <c r="P89" s="5" t="str">
        <f>CONCATENATE(LOWER(B89)," ",LOWER(C89))</f>
        <v> </v>
      </c>
    </row>
    <row r="90" spans="1:17" ht="12.75">
      <c r="A90" s="3"/>
      <c r="B90" s="22"/>
      <c r="C90" s="22"/>
      <c r="D90" s="23"/>
      <c r="E90" s="24"/>
      <c r="F90" s="4"/>
      <c r="G90" s="4"/>
      <c r="H90" s="23"/>
      <c r="I90" s="23"/>
      <c r="J90" s="4"/>
      <c r="K90" s="4"/>
      <c r="L90" s="4"/>
      <c r="M90" s="4"/>
      <c r="N90" s="4"/>
      <c r="O90" s="4"/>
      <c r="P90" s="14"/>
      <c r="Q90" s="15"/>
    </row>
    <row r="91" spans="1:15" s="5" customFormat="1" ht="13.5" thickBot="1">
      <c r="A91" s="82" t="s">
        <v>11</v>
      </c>
      <c r="B91" s="66"/>
      <c r="C91" s="66"/>
      <c r="D91" s="23"/>
      <c r="E91" s="24"/>
      <c r="F91" s="4"/>
      <c r="G91" s="4"/>
      <c r="I91" s="12"/>
      <c r="J91" s="12"/>
      <c r="K91" s="12"/>
      <c r="L91" s="4"/>
      <c r="M91" s="4"/>
      <c r="N91" s="4"/>
      <c r="O91" s="4"/>
    </row>
    <row r="92" spans="1:17" s="5" customFormat="1" ht="12.75">
      <c r="A92" s="72">
        <v>1</v>
      </c>
      <c r="B92" s="70" t="s">
        <v>199</v>
      </c>
      <c r="C92" s="70" t="s">
        <v>200</v>
      </c>
      <c r="D92" s="67" t="s">
        <v>13</v>
      </c>
      <c r="E92" s="96">
        <f>SUM(F92:O92)-SMALL(F92:O92,2)-MIN(F92:O92)</f>
        <v>175</v>
      </c>
      <c r="F92" s="168">
        <f>_xlfn.IFERROR(VLOOKUP($P92,'Rd1 PI'!$C$2:$AC$21,17,0),0)</f>
        <v>100</v>
      </c>
      <c r="G92" s="68">
        <f>_xlfn.IFERROR(VLOOKUP($P92,'Rd2 Winton'!$C$2:$AC$24,17,0),0)</f>
        <v>75</v>
      </c>
      <c r="H92" s="68">
        <f>_xlfn.IFERROR(VLOOKUP($P92,#REF!,17,0),0)</f>
        <v>0</v>
      </c>
      <c r="I92" s="68">
        <f>_xlfn.IFERROR(VLOOKUP($P92,#REF!,17,0),0)</f>
        <v>0</v>
      </c>
      <c r="J92" s="68">
        <f>_xlfn.IFERROR(VLOOKUP($P92,#REF!,17,0),0)</f>
        <v>0</v>
      </c>
      <c r="K92" s="68">
        <f>_xlfn.IFERROR(VLOOKUP($P92,#REF!,17,0),0)</f>
        <v>0</v>
      </c>
      <c r="L92" s="68">
        <f>_xlfn.IFERROR(VLOOKUP($P92,#REF!,17,0),0)</f>
        <v>0</v>
      </c>
      <c r="M92" s="68">
        <f>_xlfn.IFERROR(VLOOKUP($P92,#REF!,17,0),0)</f>
        <v>0</v>
      </c>
      <c r="N92" s="68">
        <f>_xlfn.IFERROR(VLOOKUP($P92,#REF!,17,0),0)</f>
        <v>0</v>
      </c>
      <c r="O92" s="68">
        <f>_xlfn.IFERROR(VLOOKUP($P92,#REF!,17,0),0)</f>
        <v>0</v>
      </c>
      <c r="P92" s="5" t="str">
        <f>CONCATENATE(LOWER(B92)," ",LOWER(C92))</f>
        <v>ray monik</v>
      </c>
      <c r="Q92" s="15"/>
    </row>
    <row r="93" spans="1:16" s="5" customFormat="1" ht="12.75">
      <c r="A93" s="72">
        <v>2</v>
      </c>
      <c r="B93" s="70" t="s">
        <v>29</v>
      </c>
      <c r="C93" s="70" t="s">
        <v>30</v>
      </c>
      <c r="D93" s="67" t="s">
        <v>13</v>
      </c>
      <c r="E93" s="97">
        <f>SUM(F93:O93)-SMALL(F93:O93,2)-MIN(F93:O93)</f>
        <v>135</v>
      </c>
      <c r="F93" s="168">
        <f>_xlfn.IFERROR(VLOOKUP($P93,'Rd1 PI'!$C$2:$AC$21,17,0),0)</f>
        <v>75</v>
      </c>
      <c r="G93" s="68">
        <f>_xlfn.IFERROR(VLOOKUP($P93,'Rd2 Winton'!$C$2:$AC$24,17,0),0)</f>
        <v>60</v>
      </c>
      <c r="H93" s="68">
        <f>_xlfn.IFERROR(VLOOKUP($P93,#REF!,17,0),0)</f>
        <v>0</v>
      </c>
      <c r="I93" s="68">
        <f>_xlfn.IFERROR(VLOOKUP($P93,#REF!,17,0),0)</f>
        <v>0</v>
      </c>
      <c r="J93" s="68">
        <f>_xlfn.IFERROR(VLOOKUP($P93,#REF!,17,0),0)</f>
        <v>0</v>
      </c>
      <c r="K93" s="68">
        <f>_xlfn.IFERROR(VLOOKUP($P93,#REF!,17,0),0)</f>
        <v>0</v>
      </c>
      <c r="L93" s="68">
        <f>_xlfn.IFERROR(VLOOKUP($P93,#REF!,17,0),0)</f>
        <v>0</v>
      </c>
      <c r="M93" s="68">
        <f>_xlfn.IFERROR(VLOOKUP($P93,#REF!,17,0),0)</f>
        <v>0</v>
      </c>
      <c r="N93" s="68">
        <f>_xlfn.IFERROR(VLOOKUP($P93,#REF!,17,0),0)</f>
        <v>0</v>
      </c>
      <c r="O93" s="68">
        <f>_xlfn.IFERROR(VLOOKUP($P93,#REF!,17,0),0)</f>
        <v>0</v>
      </c>
      <c r="P93" s="5" t="str">
        <f>CONCATENATE(LOWER(B93)," ",LOWER(C93))</f>
        <v>tim meaden</v>
      </c>
    </row>
    <row r="94" spans="1:17" ht="12.75">
      <c r="A94" s="72">
        <v>3</v>
      </c>
      <c r="B94" s="70" t="s">
        <v>185</v>
      </c>
      <c r="C94" s="70" t="s">
        <v>186</v>
      </c>
      <c r="D94" s="67" t="s">
        <v>13</v>
      </c>
      <c r="E94" s="97">
        <f>SUM(F94:O94)-SMALL(F94:O94,2)-MIN(F94:O94)</f>
        <v>100</v>
      </c>
      <c r="F94" s="168">
        <f>_xlfn.IFERROR(VLOOKUP($P94,'Rd1 PI'!$C$2:$AC$21,17,0),0)</f>
        <v>0</v>
      </c>
      <c r="G94" s="68">
        <f>_xlfn.IFERROR(VLOOKUP($P94,'Rd2 Winton'!$C$2:$AC$24,17,0),0)</f>
        <v>100</v>
      </c>
      <c r="H94" s="68">
        <f>_xlfn.IFERROR(VLOOKUP($P94,#REF!,17,0),0)</f>
        <v>0</v>
      </c>
      <c r="I94" s="68">
        <f>_xlfn.IFERROR(VLOOKUP($P94,#REF!,17,0),0)</f>
        <v>0</v>
      </c>
      <c r="J94" s="68">
        <f>_xlfn.IFERROR(VLOOKUP($P94,#REF!,17,0),0)</f>
        <v>0</v>
      </c>
      <c r="K94" s="68">
        <f>_xlfn.IFERROR(VLOOKUP($P94,#REF!,17,0),0)</f>
        <v>0</v>
      </c>
      <c r="L94" s="68">
        <f>_xlfn.IFERROR(VLOOKUP($P94,#REF!,17,0),0)</f>
        <v>0</v>
      </c>
      <c r="M94" s="68">
        <f>_xlfn.IFERROR(VLOOKUP($P94,#REF!,17,0),0)</f>
        <v>0</v>
      </c>
      <c r="N94" s="68">
        <f>_xlfn.IFERROR(VLOOKUP($P94,#REF!,17,0),0)</f>
        <v>0</v>
      </c>
      <c r="O94" s="68">
        <f>_xlfn.IFERROR(VLOOKUP($P94,#REF!,17,0),0)</f>
        <v>0</v>
      </c>
      <c r="P94" s="5" t="str">
        <f>CONCATENATE(LOWER(B94)," ",LOWER(C94))</f>
        <v>paul ledwith</v>
      </c>
      <c r="Q94" s="5"/>
    </row>
    <row r="95" spans="1:17" ht="12.75">
      <c r="A95" s="73">
        <v>4</v>
      </c>
      <c r="B95" s="70"/>
      <c r="C95" s="70"/>
      <c r="D95" s="67" t="s">
        <v>13</v>
      </c>
      <c r="E95" s="97">
        <f>SUM(F95:O95)-SMALL(F95:O95,2)-MIN(F95:O95)</f>
        <v>0</v>
      </c>
      <c r="F95" s="168">
        <f>_xlfn.IFERROR(VLOOKUP($P95,'Rd1 PI'!$C$2:$AC$21,17,0),0)</f>
        <v>0</v>
      </c>
      <c r="G95" s="68">
        <f>_xlfn.IFERROR(VLOOKUP($P95,'Rd2 Winton'!$C$2:$AC$24,17,0),0)</f>
        <v>0</v>
      </c>
      <c r="H95" s="68">
        <f>_xlfn.IFERROR(VLOOKUP($P95,#REF!,17,0),0)</f>
        <v>0</v>
      </c>
      <c r="I95" s="68">
        <f>_xlfn.IFERROR(VLOOKUP($P95,#REF!,17,0),0)</f>
        <v>0</v>
      </c>
      <c r="J95" s="68">
        <f>_xlfn.IFERROR(VLOOKUP($P95,#REF!,17,0),0)</f>
        <v>0</v>
      </c>
      <c r="K95" s="68">
        <f>_xlfn.IFERROR(VLOOKUP($P95,#REF!,17,0),0)</f>
        <v>0</v>
      </c>
      <c r="L95" s="68">
        <f>_xlfn.IFERROR(VLOOKUP($P95,#REF!,17,0),0)</f>
        <v>0</v>
      </c>
      <c r="M95" s="68">
        <f>_xlfn.IFERROR(VLOOKUP($P95,#REF!,17,0),0)</f>
        <v>0</v>
      </c>
      <c r="N95" s="68">
        <f>_xlfn.IFERROR(VLOOKUP($P95,#REF!,17,0),0)</f>
        <v>0</v>
      </c>
      <c r="O95" s="68">
        <f>_xlfn.IFERROR(VLOOKUP($P95,#REF!,17,0),0)</f>
        <v>0</v>
      </c>
      <c r="P95" s="5" t="str">
        <f>CONCATENATE(LOWER(B95)," ",LOWER(C95))</f>
        <v> </v>
      </c>
      <c r="Q95" s="15"/>
    </row>
    <row r="96" spans="1:17" ht="13.5" thickBot="1">
      <c r="A96" s="73">
        <v>5</v>
      </c>
      <c r="B96" s="65"/>
      <c r="C96" s="65"/>
      <c r="D96" s="67" t="s">
        <v>13</v>
      </c>
      <c r="E96" s="98">
        <f>SUM(F96:O96)-SMALL(F96:O96,2)-MIN(F96:O96)</f>
        <v>0</v>
      </c>
      <c r="F96" s="168">
        <f>_xlfn.IFERROR(VLOOKUP($P96,'Rd1 PI'!$C$2:$AC$21,17,0),0)</f>
        <v>0</v>
      </c>
      <c r="G96" s="68">
        <f>_xlfn.IFERROR(VLOOKUP($P96,'Rd2 Winton'!$C$2:$AC$24,17,0),0)</f>
        <v>0</v>
      </c>
      <c r="H96" s="68">
        <f>_xlfn.IFERROR(VLOOKUP($P96,#REF!,17,0),0)</f>
        <v>0</v>
      </c>
      <c r="I96" s="68">
        <f>_xlfn.IFERROR(VLOOKUP($P96,#REF!,17,0),0)</f>
        <v>0</v>
      </c>
      <c r="J96" s="68">
        <f>_xlfn.IFERROR(VLOOKUP($P96,#REF!,17,0),0)</f>
        <v>0</v>
      </c>
      <c r="K96" s="68">
        <f>_xlfn.IFERROR(VLOOKUP($P96,#REF!,17,0),0)</f>
        <v>0</v>
      </c>
      <c r="L96" s="68">
        <f>_xlfn.IFERROR(VLOOKUP($P96,#REF!,17,0),0)</f>
        <v>0</v>
      </c>
      <c r="M96" s="68">
        <f>_xlfn.IFERROR(VLOOKUP($P96,#REF!,17,0),0)</f>
        <v>0</v>
      </c>
      <c r="N96" s="68">
        <f>_xlfn.IFERROR(VLOOKUP($P96,#REF!,17,0),0)</f>
        <v>0</v>
      </c>
      <c r="O96" s="68">
        <f>_xlfn.IFERROR(VLOOKUP($P96,#REF!,17,0),0)</f>
        <v>0</v>
      </c>
      <c r="P96" s="5" t="str">
        <f>CONCATENATE(LOWER(B96)," ",LOWER(C96))</f>
        <v> </v>
      </c>
      <c r="Q96" s="15"/>
    </row>
    <row r="97" spans="1:15" ht="12.75">
      <c r="A97" s="29"/>
      <c r="B97" s="11"/>
      <c r="C97" s="11"/>
      <c r="F97" s="4"/>
      <c r="G97" s="383"/>
      <c r="H97" s="1"/>
      <c r="I97" s="12"/>
      <c r="J97" s="12"/>
      <c r="K97" s="12"/>
      <c r="L97" s="4"/>
      <c r="M97" s="4"/>
      <c r="N97" s="4"/>
      <c r="O97" s="4"/>
    </row>
    <row r="98" spans="1:15" s="5" customFormat="1" ht="13.5" thickBot="1">
      <c r="A98" s="59" t="s">
        <v>10</v>
      </c>
      <c r="B98" s="49"/>
      <c r="C98" s="49"/>
      <c r="D98" s="7"/>
      <c r="E98" s="24"/>
      <c r="F98" s="4"/>
      <c r="G98" s="383"/>
      <c r="I98" s="12"/>
      <c r="J98" s="12"/>
      <c r="K98" s="12"/>
      <c r="L98" s="4"/>
      <c r="M98" s="4"/>
      <c r="N98" s="4"/>
      <c r="O98" s="4"/>
    </row>
    <row r="99" spans="1:16" s="5" customFormat="1" ht="12.75">
      <c r="A99" s="60">
        <v>1</v>
      </c>
      <c r="B99" s="61" t="s">
        <v>81</v>
      </c>
      <c r="C99" s="61" t="s">
        <v>146</v>
      </c>
      <c r="D99" s="58" t="s">
        <v>14</v>
      </c>
      <c r="E99" s="99">
        <f>SUM(F99:O99)-SMALL(F99:O99,2)-MIN(F99:O99)</f>
        <v>100</v>
      </c>
      <c r="F99" s="166">
        <f>_xlfn.IFERROR(VLOOKUP($P99,'Rd1 PI'!$C$2:$AC$21,17,0),0)</f>
        <v>100</v>
      </c>
      <c r="G99" s="57">
        <f>_xlfn.IFERROR(VLOOKUP($P99,'Rd2 Winton'!$C$2:$AC$24,17,0),0)</f>
        <v>0</v>
      </c>
      <c r="H99" s="57">
        <f>_xlfn.IFERROR(VLOOKUP($P99,#REF!,17,0),0)</f>
        <v>0</v>
      </c>
      <c r="I99" s="57">
        <f>_xlfn.IFERROR(VLOOKUP($P99,#REF!,17,0),0)</f>
        <v>0</v>
      </c>
      <c r="J99" s="57">
        <f>_xlfn.IFERROR(VLOOKUP($P99,#REF!,17,0),0)</f>
        <v>0</v>
      </c>
      <c r="K99" s="57">
        <f>_xlfn.IFERROR(VLOOKUP($P99,#REF!,17,0),0)</f>
        <v>0</v>
      </c>
      <c r="L99" s="57">
        <f>_xlfn.IFERROR(VLOOKUP($P99,#REF!,17,0),0)</f>
        <v>0</v>
      </c>
      <c r="M99" s="57">
        <f>_xlfn.IFERROR(VLOOKUP($P99,#REF!,17,0),0)</f>
        <v>0</v>
      </c>
      <c r="N99" s="57">
        <f>_xlfn.IFERROR(VLOOKUP($P99,#REF!,17,0),0)</f>
        <v>0</v>
      </c>
      <c r="O99" s="57">
        <f>_xlfn.IFERROR(VLOOKUP($P99,#REF!,17,0),0)</f>
        <v>0</v>
      </c>
      <c r="P99" s="5" t="str">
        <f>CONCATENATE(LOWER(B99)," ",LOWER(C99))</f>
        <v>john vaughan</v>
      </c>
    </row>
    <row r="100" spans="1:16" s="5" customFormat="1" ht="12.75">
      <c r="A100" s="60">
        <v>2</v>
      </c>
      <c r="B100" s="116"/>
      <c r="C100" s="116"/>
      <c r="D100" s="58" t="s">
        <v>14</v>
      </c>
      <c r="E100" s="100">
        <f>SUM(F100:O100)-SMALL(F100:O100,2)-MIN(F100:O100)</f>
        <v>0</v>
      </c>
      <c r="F100" s="166">
        <f>_xlfn.IFERROR(VLOOKUP($P100,'Rd1 PI'!$C$2:$AC$21,17,0),0)</f>
        <v>0</v>
      </c>
      <c r="G100" s="57">
        <f>_xlfn.IFERROR(VLOOKUP($P100,'Rd2 Winton'!$C$2:$AC$24,17,0),0)</f>
        <v>0</v>
      </c>
      <c r="H100" s="57">
        <f>_xlfn.IFERROR(VLOOKUP($P100,#REF!,17,0),0)</f>
        <v>0</v>
      </c>
      <c r="I100" s="57">
        <f>_xlfn.IFERROR(VLOOKUP($P100,#REF!,17,0),0)</f>
        <v>0</v>
      </c>
      <c r="J100" s="57">
        <f>_xlfn.IFERROR(VLOOKUP($P100,#REF!,17,0),0)</f>
        <v>0</v>
      </c>
      <c r="K100" s="57">
        <f>_xlfn.IFERROR(VLOOKUP($P100,#REF!,17,0),0)</f>
        <v>0</v>
      </c>
      <c r="L100" s="57">
        <f>_xlfn.IFERROR(VLOOKUP($P100,#REF!,17,0),0)</f>
        <v>0</v>
      </c>
      <c r="M100" s="57">
        <f>_xlfn.IFERROR(VLOOKUP($P100,#REF!,17,0),0)</f>
        <v>0</v>
      </c>
      <c r="N100" s="57">
        <f>_xlfn.IFERROR(VLOOKUP($P100,#REF!,17,0),0)</f>
        <v>0</v>
      </c>
      <c r="O100" s="57">
        <f>_xlfn.IFERROR(VLOOKUP($P100,#REF!,17,0),0)</f>
        <v>0</v>
      </c>
      <c r="P100" s="5" t="str">
        <f>CONCATENATE(LOWER(B100)," ",LOWER(C100))</f>
        <v> </v>
      </c>
    </row>
    <row r="101" spans="1:16" s="5" customFormat="1" ht="12.75">
      <c r="A101" s="60">
        <v>3</v>
      </c>
      <c r="B101" s="116"/>
      <c r="C101" s="116"/>
      <c r="D101" s="58" t="s">
        <v>14</v>
      </c>
      <c r="E101" s="100">
        <f>SUM(F101:O101)-SMALL(F101:O101,2)-MIN(F101:O101)</f>
        <v>0</v>
      </c>
      <c r="F101" s="166">
        <f>_xlfn.IFERROR(VLOOKUP($P101,'Rd1 PI'!$C$2:$AC$21,17,0),0)</f>
        <v>0</v>
      </c>
      <c r="G101" s="57">
        <f>_xlfn.IFERROR(VLOOKUP($P101,'Rd2 Winton'!$C$2:$AC$24,17,0),0)</f>
        <v>0</v>
      </c>
      <c r="H101" s="57">
        <f>_xlfn.IFERROR(VLOOKUP($P101,#REF!,17,0),0)</f>
        <v>0</v>
      </c>
      <c r="I101" s="57">
        <f>_xlfn.IFERROR(VLOOKUP($P101,#REF!,17,0),0)</f>
        <v>0</v>
      </c>
      <c r="J101" s="57">
        <f>_xlfn.IFERROR(VLOOKUP($P101,#REF!,17,0),0)</f>
        <v>0</v>
      </c>
      <c r="K101" s="57">
        <f>_xlfn.IFERROR(VLOOKUP($P101,#REF!,17,0),0)</f>
        <v>0</v>
      </c>
      <c r="L101" s="57">
        <f>_xlfn.IFERROR(VLOOKUP($P101,#REF!,17,0),0)</f>
        <v>0</v>
      </c>
      <c r="M101" s="57">
        <f>_xlfn.IFERROR(VLOOKUP($P101,#REF!,17,0),0)</f>
        <v>0</v>
      </c>
      <c r="N101" s="57">
        <f>_xlfn.IFERROR(VLOOKUP($P101,#REF!,17,0),0)</f>
        <v>0</v>
      </c>
      <c r="O101" s="57">
        <f>_xlfn.IFERROR(VLOOKUP($P101,#REF!,17,0),0)</f>
        <v>0</v>
      </c>
      <c r="P101" s="5" t="str">
        <f>CONCATENATE(LOWER(B101)," ",LOWER(C101))</f>
        <v> </v>
      </c>
    </row>
    <row r="102" spans="1:16" s="5" customFormat="1" ht="12.75">
      <c r="A102" s="60">
        <v>4</v>
      </c>
      <c r="B102" s="61"/>
      <c r="C102" s="61"/>
      <c r="D102" s="58" t="s">
        <v>14</v>
      </c>
      <c r="E102" s="100">
        <f>SUM(F102:O102)-SMALL(F102:O102,2)-MIN(F102:O102)</f>
        <v>0</v>
      </c>
      <c r="F102" s="166">
        <f>_xlfn.IFERROR(VLOOKUP($P102,'Rd1 PI'!$C$2:$AC$21,17,0),0)</f>
        <v>0</v>
      </c>
      <c r="G102" s="57">
        <f>_xlfn.IFERROR(VLOOKUP($P102,'Rd2 Winton'!$C$2:$AC$24,17,0),0)</f>
        <v>0</v>
      </c>
      <c r="H102" s="57">
        <f>_xlfn.IFERROR(VLOOKUP($P102,#REF!,17,0),0)</f>
        <v>0</v>
      </c>
      <c r="I102" s="57">
        <f>_xlfn.IFERROR(VLOOKUP($P102,#REF!,17,0),0)</f>
        <v>0</v>
      </c>
      <c r="J102" s="57">
        <f>_xlfn.IFERROR(VLOOKUP($P102,#REF!,17,0),0)</f>
        <v>0</v>
      </c>
      <c r="K102" s="57">
        <f>_xlfn.IFERROR(VLOOKUP($P102,#REF!,17,0),0)</f>
        <v>0</v>
      </c>
      <c r="L102" s="57">
        <f>_xlfn.IFERROR(VLOOKUP($P102,#REF!,17,0),0)</f>
        <v>0</v>
      </c>
      <c r="M102" s="57">
        <f>_xlfn.IFERROR(VLOOKUP($P102,#REF!,17,0),0)</f>
        <v>0</v>
      </c>
      <c r="N102" s="57">
        <f>_xlfn.IFERROR(VLOOKUP($P102,#REF!,17,0),0)</f>
        <v>0</v>
      </c>
      <c r="O102" s="57">
        <f>_xlfn.IFERROR(VLOOKUP($P102,#REF!,17,0),0)</f>
        <v>0</v>
      </c>
      <c r="P102" s="5" t="str">
        <f>CONCATENATE(LOWER(B102)," ",LOWER(C102))</f>
        <v> </v>
      </c>
    </row>
    <row r="103" spans="1:16" s="5" customFormat="1" ht="13.5" thickBot="1">
      <c r="A103" s="60">
        <v>5</v>
      </c>
      <c r="B103" s="61"/>
      <c r="C103" s="61"/>
      <c r="D103" s="58" t="s">
        <v>14</v>
      </c>
      <c r="E103" s="101">
        <f>SUM(F103:O103)-SMALL(F103:O103,2)-MIN(F103:O103)</f>
        <v>0</v>
      </c>
      <c r="F103" s="166">
        <f>_xlfn.IFERROR(VLOOKUP($P103,'Rd1 PI'!$C$2:$AC$21,17,0),0)</f>
        <v>0</v>
      </c>
      <c r="G103" s="57">
        <f>_xlfn.IFERROR(VLOOKUP($P103,'Rd2 Winton'!$C$2:$AC$24,17,0),0)</f>
        <v>0</v>
      </c>
      <c r="H103" s="57">
        <f>_xlfn.IFERROR(VLOOKUP($P103,#REF!,17,0),0)</f>
        <v>0</v>
      </c>
      <c r="I103" s="57">
        <f>_xlfn.IFERROR(VLOOKUP($P103,#REF!,17,0),0)</f>
        <v>0</v>
      </c>
      <c r="J103" s="57">
        <f>_xlfn.IFERROR(VLOOKUP($P103,#REF!,17,0),0)</f>
        <v>0</v>
      </c>
      <c r="K103" s="57">
        <f>_xlfn.IFERROR(VLOOKUP($P103,#REF!,17,0),0)</f>
        <v>0</v>
      </c>
      <c r="L103" s="57">
        <f>_xlfn.IFERROR(VLOOKUP($P103,#REF!,17,0),0)</f>
        <v>0</v>
      </c>
      <c r="M103" s="57">
        <f>_xlfn.IFERROR(VLOOKUP($P103,#REF!,17,0),0)</f>
        <v>0</v>
      </c>
      <c r="N103" s="57">
        <f>_xlfn.IFERROR(VLOOKUP($P103,#REF!,17,0),0)</f>
        <v>0</v>
      </c>
      <c r="O103" s="57">
        <f>_xlfn.IFERROR(VLOOKUP($P103,#REF!,17,0),0)</f>
        <v>0</v>
      </c>
      <c r="P103" s="5" t="str">
        <f>CONCATENATE(LOWER(B103)," ",LOWER(C103))</f>
        <v> </v>
      </c>
    </row>
    <row r="104" spans="2:3" ht="12.75">
      <c r="B104" s="6"/>
      <c r="C104" s="6"/>
    </row>
    <row r="105" ht="12.75">
      <c r="D105" s="17"/>
    </row>
    <row r="106" spans="4:12" ht="12.75">
      <c r="D106" s="28"/>
      <c r="E106" s="24"/>
      <c r="G106" s="20"/>
      <c r="H106" s="20"/>
      <c r="I106" s="20"/>
      <c r="J106" s="2"/>
      <c r="K106" s="20"/>
      <c r="L106" s="20"/>
    </row>
    <row r="107" spans="1:4" ht="12.75">
      <c r="A107" s="29"/>
      <c r="D107" s="17"/>
    </row>
    <row r="108" spans="2:4" ht="12.75">
      <c r="B108" s="21"/>
      <c r="C108" s="21"/>
      <c r="D108" s="17"/>
    </row>
    <row r="109" ht="12.75">
      <c r="D109" s="17"/>
    </row>
    <row r="110" ht="12.75">
      <c r="D110" s="17"/>
    </row>
    <row r="111" spans="2:4" ht="12.75">
      <c r="B111" s="6"/>
      <c r="C111" s="6"/>
      <c r="D111" s="17"/>
    </row>
    <row r="112" spans="1:4" ht="12.75">
      <c r="A112" s="29"/>
      <c r="B112" s="5"/>
      <c r="C112" s="5"/>
      <c r="D112" s="17"/>
    </row>
    <row r="113" spans="1:11" ht="12.75">
      <c r="A113" s="29"/>
      <c r="D113" s="17"/>
      <c r="G113" s="2"/>
      <c r="H113" s="2"/>
      <c r="I113" s="2"/>
      <c r="J113" s="2"/>
      <c r="K113" s="20"/>
    </row>
    <row r="114" spans="1:3" ht="12.75">
      <c r="A114" s="29"/>
      <c r="B114" s="21"/>
      <c r="C114" s="21"/>
    </row>
    <row r="115" spans="1:4" ht="12.75">
      <c r="A115" s="29"/>
      <c r="D115" s="17"/>
    </row>
    <row r="116" ht="12.75">
      <c r="A116" s="29"/>
    </row>
    <row r="117" ht="12.75">
      <c r="D117" s="17"/>
    </row>
    <row r="118" spans="1:4" ht="12.75">
      <c r="A118" s="29"/>
      <c r="D118" s="17"/>
    </row>
    <row r="119" spans="1:5" ht="12.75">
      <c r="A119" s="29"/>
      <c r="D119" s="7"/>
      <c r="E119" s="24"/>
    </row>
    <row r="120" spans="1:4" ht="12.75">
      <c r="A120" s="29"/>
      <c r="D120" s="17"/>
    </row>
    <row r="121" spans="1:5" ht="12.75">
      <c r="A121" s="29"/>
      <c r="D121" s="7"/>
      <c r="E121" s="24"/>
    </row>
    <row r="122" ht="12.75">
      <c r="A122" s="29"/>
    </row>
    <row r="123" ht="12.75">
      <c r="A123" s="29"/>
    </row>
    <row r="124" ht="12.75">
      <c r="A124" s="29"/>
    </row>
    <row r="125" ht="12.75">
      <c r="A125" s="29"/>
    </row>
    <row r="126" spans="1:3" ht="12.75">
      <c r="A126" s="29"/>
      <c r="B126" s="11"/>
      <c r="C126" s="11"/>
    </row>
    <row r="127" spans="1:5" ht="12.75">
      <c r="A127" s="29"/>
      <c r="D127" s="12"/>
      <c r="E127"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4"/>
  <sheetViews>
    <sheetView zoomScale="90" zoomScaleNormal="90" zoomScalePageLayoutView="0" workbookViewId="0" topLeftCell="A1">
      <selection activeCell="A2" sqref="A2"/>
    </sheetView>
  </sheetViews>
  <sheetFormatPr defaultColWidth="8.8515625" defaultRowHeight="12.75"/>
  <cols>
    <col min="1" max="1" width="8.140625" style="109" customWidth="1"/>
    <col min="2" max="2" width="23.7109375" style="110" customWidth="1"/>
    <col min="3" max="3" width="5.8515625" style="110" hidden="1" customWidth="1"/>
    <col min="4" max="4" width="7.7109375" style="110" bestFit="1" customWidth="1"/>
    <col min="5" max="5" width="9.7109375" style="110" customWidth="1"/>
    <col min="6" max="6" width="14.28125" style="110" bestFit="1" customWidth="1"/>
    <col min="7" max="7" width="9.28125" style="110" bestFit="1" customWidth="1"/>
    <col min="8" max="18" width="7.7109375" style="110" customWidth="1"/>
    <col min="19" max="20" width="6.7109375" style="110" customWidth="1"/>
    <col min="21" max="21" width="8.28125" style="110" customWidth="1"/>
    <col min="22" max="22" width="8.8515625" style="156" customWidth="1"/>
    <col min="23" max="23" width="8.8515625" style="110" customWidth="1"/>
    <col min="24" max="24" width="14.28125" style="110" hidden="1" customWidth="1"/>
    <col min="25" max="27" width="8.8515625" style="110" hidden="1" customWidth="1"/>
    <col min="28" max="28" width="10.8515625" style="110" hidden="1" customWidth="1"/>
    <col min="29" max="31" width="8.8515625" style="110" customWidth="1"/>
    <col min="32" max="32" width="22.28125" style="110" customWidth="1"/>
    <col min="33" max="33" width="10.28125" style="110" customWidth="1"/>
    <col min="34" max="16384" width="8.8515625" style="110" customWidth="1"/>
  </cols>
  <sheetData>
    <row r="1" spans="1:33" s="109" customFormat="1" ht="42.75" customHeight="1" thickBot="1">
      <c r="A1" s="181" t="s">
        <v>23</v>
      </c>
      <c r="B1" s="182" t="s">
        <v>1</v>
      </c>
      <c r="C1" s="183" t="s">
        <v>1</v>
      </c>
      <c r="D1" s="183" t="s">
        <v>2</v>
      </c>
      <c r="E1" s="184" t="s">
        <v>24</v>
      </c>
      <c r="F1" s="185"/>
      <c r="G1" s="185" t="s">
        <v>25</v>
      </c>
      <c r="H1" s="186" t="s">
        <v>14</v>
      </c>
      <c r="I1" s="187" t="s">
        <v>13</v>
      </c>
      <c r="J1" s="188" t="s">
        <v>16</v>
      </c>
      <c r="K1" s="189" t="s">
        <v>52</v>
      </c>
      <c r="L1" s="190" t="s">
        <v>51</v>
      </c>
      <c r="M1" s="191" t="s">
        <v>21</v>
      </c>
      <c r="N1" s="192" t="s">
        <v>22</v>
      </c>
      <c r="O1" s="193" t="s">
        <v>50</v>
      </c>
      <c r="P1" s="194" t="s">
        <v>4</v>
      </c>
      <c r="Q1" s="195" t="s">
        <v>5</v>
      </c>
      <c r="R1" s="196" t="s">
        <v>3</v>
      </c>
      <c r="S1" s="326" t="s">
        <v>64</v>
      </c>
      <c r="T1" s="204" t="s">
        <v>95</v>
      </c>
      <c r="U1" s="204" t="s">
        <v>60</v>
      </c>
      <c r="V1" s="207" t="s">
        <v>61</v>
      </c>
      <c r="W1" s="205" t="s">
        <v>63</v>
      </c>
      <c r="X1" s="327" t="s">
        <v>93</v>
      </c>
      <c r="Y1" s="327" t="s">
        <v>2</v>
      </c>
      <c r="Z1" s="327" t="s">
        <v>97</v>
      </c>
      <c r="AA1" s="327" t="s">
        <v>89</v>
      </c>
      <c r="AB1" s="327" t="s">
        <v>94</v>
      </c>
      <c r="AC1" s="326" t="s">
        <v>98</v>
      </c>
      <c r="AE1" s="476" t="s">
        <v>108</v>
      </c>
      <c r="AF1" s="476"/>
      <c r="AG1" s="476"/>
    </row>
    <row r="2" spans="1:33" ht="12.75">
      <c r="A2" s="171">
        <v>103</v>
      </c>
      <c r="B2" s="172" t="s">
        <v>106</v>
      </c>
      <c r="C2" s="319" t="str">
        <f>LOWER(B2)</f>
        <v>russell garner</v>
      </c>
      <c r="D2" s="474" t="s">
        <v>16</v>
      </c>
      <c r="E2" s="341" t="s">
        <v>119</v>
      </c>
      <c r="F2" s="172"/>
      <c r="G2" s="172" t="s">
        <v>54</v>
      </c>
      <c r="H2" s="265">
        <f aca="true" t="shared" si="0" ref="H2:R21">IF($D2=H$1,$S2,"")</f>
      </c>
      <c r="I2" s="265">
        <f t="shared" si="0"/>
      </c>
      <c r="J2" s="265">
        <f t="shared" si="0"/>
        <v>100</v>
      </c>
      <c r="K2" s="265">
        <f t="shared" si="0"/>
      </c>
      <c r="L2" s="265">
        <f t="shared" si="0"/>
      </c>
      <c r="M2" s="265">
        <f t="shared" si="0"/>
      </c>
      <c r="N2" s="265">
        <f t="shared" si="0"/>
      </c>
      <c r="O2" s="265">
        <f t="shared" si="0"/>
      </c>
      <c r="P2" s="265">
        <f t="shared" si="0"/>
      </c>
      <c r="Q2" s="265">
        <f t="shared" si="0"/>
      </c>
      <c r="R2" s="268">
        <f t="shared" si="0"/>
      </c>
      <c r="S2" s="170">
        <f aca="true" t="shared" si="1" ref="S2:S21">_xlfn.IFERROR(VLOOKUP($Z2,Points,2,0),0)</f>
        <v>100</v>
      </c>
      <c r="T2" s="171">
        <f aca="true" t="shared" si="2" ref="T2:T10">AB2-S2</f>
        <v>0</v>
      </c>
      <c r="U2" s="266">
        <f aca="true" t="shared" si="3" ref="U2:U18">_xlfn.IFERROR(VLOOKUP(D2,BenchmarksRd6,3,0)*86400,"")</f>
        <v>111.39800000000001</v>
      </c>
      <c r="V2" s="267">
        <f>_xlfn.IFERROR((($E2*86400)-U2),"")</f>
        <v>1.4469999999999743</v>
      </c>
      <c r="W2" s="173">
        <f aca="true" t="shared" si="4" ref="W2:W20">IF(V2&lt;=0,10,IF(V2&lt;1,5,IF(V2&lt;2,0,IF(V2&lt;3,-5,-10))))</f>
        <v>0</v>
      </c>
      <c r="X2" s="219">
        <f aca="true" t="shared" si="5" ref="X2:X21">_xlfn.IFERROR(VLOOKUP(D2,Class,4,0),"n/a")</f>
        <v>5</v>
      </c>
      <c r="Y2" s="219">
        <f aca="true" t="shared" si="6" ref="Y2:Y21">_xlfn.IFERROR(VLOOKUP(D2,Class,3,0),"n/a")</f>
        <v>9</v>
      </c>
      <c r="Z2" s="219">
        <f>IF($Y2="n/a","",_xlfn.IFERROR(COUNTIF($Y$2:$Y2,"="&amp;Y2),""))</f>
        <v>1</v>
      </c>
      <c r="AA2" s="219">
        <f>COUNTIF($X1:X$2,"&lt;"&amp;X2)</f>
        <v>0</v>
      </c>
      <c r="AB2" s="249">
        <f aca="true" t="shared" si="7" ref="AB2:AB21">IF($Y2="n/a",0,_xlfn.IFERROR(VLOOKUP(Z2+AA2,Points,2,0),15))</f>
        <v>100</v>
      </c>
      <c r="AC2" s="213">
        <f aca="true" t="shared" si="8" ref="AC2:AC21">(S2+T2+W2)</f>
        <v>100</v>
      </c>
      <c r="AE2" s="253" t="s">
        <v>3</v>
      </c>
      <c r="AF2" s="300" t="s">
        <v>76</v>
      </c>
      <c r="AG2" s="317">
        <v>0.001427349537037037</v>
      </c>
    </row>
    <row r="3" spans="1:33" ht="12.75">
      <c r="A3" s="358">
        <v>76</v>
      </c>
      <c r="B3" s="1" t="s">
        <v>110</v>
      </c>
      <c r="C3" s="1" t="str">
        <f aca="true" t="shared" si="9" ref="C3:C21">LOWER(B3)</f>
        <v>ralph thompson</v>
      </c>
      <c r="D3" s="8" t="s">
        <v>26</v>
      </c>
      <c r="E3" s="11" t="s">
        <v>120</v>
      </c>
      <c r="F3" s="1"/>
      <c r="G3" s="1" t="s">
        <v>69</v>
      </c>
      <c r="H3" s="250">
        <f t="shared" si="0"/>
      </c>
      <c r="I3" s="250">
        <f t="shared" si="0"/>
      </c>
      <c r="J3" s="250">
        <f t="shared" si="0"/>
      </c>
      <c r="K3" s="250">
        <f t="shared" si="0"/>
      </c>
      <c r="L3" s="250">
        <f t="shared" si="0"/>
      </c>
      <c r="M3" s="250">
        <f t="shared" si="0"/>
      </c>
      <c r="N3" s="250">
        <f t="shared" si="0"/>
      </c>
      <c r="O3" s="250">
        <f t="shared" si="0"/>
      </c>
      <c r="P3" s="250">
        <f t="shared" si="0"/>
      </c>
      <c r="Q3" s="250">
        <f t="shared" si="0"/>
      </c>
      <c r="R3" s="271">
        <f t="shared" si="0"/>
      </c>
      <c r="S3" s="103">
        <f t="shared" si="1"/>
        <v>0</v>
      </c>
      <c r="T3" s="197">
        <f t="shared" si="2"/>
        <v>0</v>
      </c>
      <c r="U3" s="157">
        <f t="shared" si="3"/>
      </c>
      <c r="V3" s="211">
        <f>_xlfn.IFERROR((($E3*86400)-U3),"")</f>
      </c>
      <c r="W3" s="104"/>
      <c r="X3" s="198" t="str">
        <f t="shared" si="5"/>
        <v>n/a</v>
      </c>
      <c r="Y3" s="198" t="str">
        <f t="shared" si="6"/>
        <v>n/a</v>
      </c>
      <c r="Z3" s="198">
        <f>IF($Y3="n/a","",_xlfn.IFERROR(COUNTIF($Y$2:$Y3,"="&amp;Y3),""))</f>
      </c>
      <c r="AA3" s="198">
        <f>COUNTIF($X$2:X2,"&lt;"&amp;X3)</f>
        <v>0</v>
      </c>
      <c r="AB3" s="208">
        <f t="shared" si="7"/>
        <v>0</v>
      </c>
      <c r="AC3" s="214">
        <f t="shared" si="8"/>
        <v>0</v>
      </c>
      <c r="AE3" s="254" t="s">
        <v>5</v>
      </c>
      <c r="AF3" s="301" t="s">
        <v>77</v>
      </c>
      <c r="AG3" s="465" t="s">
        <v>161</v>
      </c>
    </row>
    <row r="4" spans="1:33" ht="12.75">
      <c r="A4" s="112">
        <v>124</v>
      </c>
      <c r="B4" s="65" t="s">
        <v>83</v>
      </c>
      <c r="C4" s="65" t="str">
        <f t="shared" si="9"/>
        <v>ray monik</v>
      </c>
      <c r="D4" s="69" t="s">
        <v>13</v>
      </c>
      <c r="E4" s="320" t="s">
        <v>121</v>
      </c>
      <c r="F4" s="65"/>
      <c r="G4" s="65" t="s">
        <v>69</v>
      </c>
      <c r="H4" s="71">
        <f t="shared" si="0"/>
      </c>
      <c r="I4" s="71">
        <f t="shared" si="0"/>
        <v>100</v>
      </c>
      <c r="J4" s="71">
        <f t="shared" si="0"/>
      </c>
      <c r="K4" s="71">
        <f t="shared" si="0"/>
      </c>
      <c r="L4" s="71">
        <f t="shared" si="0"/>
      </c>
      <c r="M4" s="71">
        <f t="shared" si="0"/>
      </c>
      <c r="N4" s="71">
        <f t="shared" si="0"/>
      </c>
      <c r="O4" s="71">
        <f t="shared" si="0"/>
      </c>
      <c r="P4" s="71">
        <f t="shared" si="0"/>
      </c>
      <c r="Q4" s="71">
        <f t="shared" si="0"/>
      </c>
      <c r="R4" s="269">
        <f t="shared" si="0"/>
      </c>
      <c r="S4" s="103">
        <f t="shared" si="1"/>
        <v>100</v>
      </c>
      <c r="T4" s="112">
        <f>AB4-S4</f>
        <v>-25</v>
      </c>
      <c r="U4" s="264">
        <f t="shared" si="3"/>
        <v>109.967</v>
      </c>
      <c r="V4" s="209">
        <f>_xlfn.IFERROR((($E4*86400)-U4),"")</f>
        <v>4.992999999999995</v>
      </c>
      <c r="W4" s="113">
        <f t="shared" si="4"/>
        <v>-10</v>
      </c>
      <c r="X4" s="198">
        <f>_xlfn.IFERROR(VLOOKUP(D4,Class,4,0),"n/a")</f>
        <v>6</v>
      </c>
      <c r="Y4" s="198">
        <f>_xlfn.IFERROR(VLOOKUP(D4,Class,3,0),"n/a")</f>
        <v>10</v>
      </c>
      <c r="Z4" s="198">
        <f>IF($Y4="n/a","",_xlfn.IFERROR(COUNTIF($Y$2:$Y4,"="&amp;Y4),""))</f>
        <v>1</v>
      </c>
      <c r="AA4" s="198">
        <f>COUNTIF($X$2:X3,"&lt;"&amp;X4)</f>
        <v>1</v>
      </c>
      <c r="AB4" s="208">
        <f>IF($Y4="n/a",0,_xlfn.IFERROR(VLOOKUP(Z4+AA4,Points,2,0),15))</f>
        <v>75</v>
      </c>
      <c r="AC4" s="214">
        <f>(S4+T4+W4)</f>
        <v>65</v>
      </c>
      <c r="AE4" s="255" t="s">
        <v>4</v>
      </c>
      <c r="AF4" s="308" t="s">
        <v>72</v>
      </c>
      <c r="AG4" s="302">
        <v>0.0013765625000000002</v>
      </c>
    </row>
    <row r="5" spans="1:33" ht="12.75">
      <c r="A5" s="112">
        <v>555</v>
      </c>
      <c r="B5" s="65" t="s">
        <v>73</v>
      </c>
      <c r="C5" s="1" t="str">
        <f t="shared" si="9"/>
        <v>tim meaden</v>
      </c>
      <c r="D5" s="8" t="s">
        <v>13</v>
      </c>
      <c r="E5" s="320" t="s">
        <v>122</v>
      </c>
      <c r="F5" s="65"/>
      <c r="G5" s="65" t="s">
        <v>117</v>
      </c>
      <c r="H5" s="71">
        <f t="shared" si="0"/>
      </c>
      <c r="I5" s="71">
        <f t="shared" si="0"/>
        <v>75</v>
      </c>
      <c r="J5" s="71">
        <f t="shared" si="0"/>
      </c>
      <c r="K5" s="71">
        <f t="shared" si="0"/>
      </c>
      <c r="L5" s="71">
        <f t="shared" si="0"/>
      </c>
      <c r="M5" s="71">
        <f t="shared" si="0"/>
      </c>
      <c r="N5" s="71">
        <f t="shared" si="0"/>
      </c>
      <c r="O5" s="71">
        <f t="shared" si="0"/>
      </c>
      <c r="P5" s="71">
        <f t="shared" si="0"/>
      </c>
      <c r="Q5" s="71">
        <f t="shared" si="0"/>
      </c>
      <c r="R5" s="269">
        <f t="shared" si="0"/>
      </c>
      <c r="S5" s="103">
        <f t="shared" si="1"/>
        <v>75</v>
      </c>
      <c r="T5" s="112">
        <f t="shared" si="2"/>
        <v>-15</v>
      </c>
      <c r="U5" s="264">
        <f t="shared" si="3"/>
        <v>109.967</v>
      </c>
      <c r="V5" s="209">
        <f aca="true" t="shared" si="10" ref="V5:V21">_xlfn.IFERROR((($E5*86400)-U5),"")</f>
        <v>8.90300000000002</v>
      </c>
      <c r="W5" s="113">
        <f t="shared" si="4"/>
        <v>-10</v>
      </c>
      <c r="X5" s="198">
        <f t="shared" si="5"/>
        <v>6</v>
      </c>
      <c r="Y5" s="198">
        <f t="shared" si="6"/>
        <v>10</v>
      </c>
      <c r="Z5" s="198">
        <f>IF($Y5="n/a","",_xlfn.IFERROR(COUNTIF($Y$2:$Y5,"="&amp;Y5),""))</f>
        <v>2</v>
      </c>
      <c r="AA5" s="198">
        <f>COUNTIF($X$2:X4,"&lt;"&amp;X5)</f>
        <v>1</v>
      </c>
      <c r="AB5" s="208">
        <f t="shared" si="7"/>
        <v>60</v>
      </c>
      <c r="AC5" s="214">
        <f t="shared" si="8"/>
        <v>50</v>
      </c>
      <c r="AE5" s="256" t="s">
        <v>50</v>
      </c>
      <c r="AF5" s="309" t="s">
        <v>74</v>
      </c>
      <c r="AG5" s="303">
        <v>0.0013754282407407406</v>
      </c>
    </row>
    <row r="6" spans="1:33" ht="12.75">
      <c r="A6" s="159">
        <v>13</v>
      </c>
      <c r="B6" s="49" t="s">
        <v>123</v>
      </c>
      <c r="C6" s="1" t="str">
        <f t="shared" si="9"/>
        <v>john vaughan</v>
      </c>
      <c r="D6" s="8" t="s">
        <v>14</v>
      </c>
      <c r="E6" s="321" t="s">
        <v>124</v>
      </c>
      <c r="F6" s="49"/>
      <c r="G6" s="49" t="s">
        <v>86</v>
      </c>
      <c r="H6" s="296">
        <f t="shared" si="0"/>
        <v>100</v>
      </c>
      <c r="I6" s="296">
        <f t="shared" si="0"/>
      </c>
      <c r="J6" s="296">
        <f t="shared" si="0"/>
      </c>
      <c r="K6" s="296">
        <f t="shared" si="0"/>
      </c>
      <c r="L6" s="296">
        <f t="shared" si="0"/>
      </c>
      <c r="M6" s="296">
        <f t="shared" si="0"/>
      </c>
      <c r="N6" s="296">
        <f t="shared" si="0"/>
      </c>
      <c r="O6" s="296">
        <f t="shared" si="0"/>
      </c>
      <c r="P6" s="296">
        <f t="shared" si="0"/>
      </c>
      <c r="Q6" s="296">
        <f t="shared" si="0"/>
      </c>
      <c r="R6" s="297">
        <f t="shared" si="0"/>
      </c>
      <c r="S6" s="103">
        <f t="shared" si="1"/>
        <v>100</v>
      </c>
      <c r="T6" s="159">
        <f t="shared" si="2"/>
        <v>-55</v>
      </c>
      <c r="U6" s="298">
        <f t="shared" si="3"/>
        <v>103.873</v>
      </c>
      <c r="V6" s="299">
        <f t="shared" si="10"/>
        <v>15.216999999999999</v>
      </c>
      <c r="W6" s="160">
        <f t="shared" si="4"/>
        <v>-10</v>
      </c>
      <c r="X6" s="198">
        <f t="shared" si="5"/>
        <v>7</v>
      </c>
      <c r="Y6" s="198">
        <f t="shared" si="6"/>
        <v>11</v>
      </c>
      <c r="Z6" s="198">
        <f>IF($Y6="n/a","",_xlfn.IFERROR(COUNTIF($Y$2:$Y6,"="&amp;Y6),""))</f>
        <v>1</v>
      </c>
      <c r="AA6" s="198">
        <f>COUNTIF($X$2:X5,"&lt;"&amp;X6)</f>
        <v>3</v>
      </c>
      <c r="AB6" s="208">
        <f t="shared" si="7"/>
        <v>45</v>
      </c>
      <c r="AC6" s="214">
        <f t="shared" si="8"/>
        <v>35</v>
      </c>
      <c r="AE6" s="257" t="s">
        <v>22</v>
      </c>
      <c r="AF6" s="310" t="s">
        <v>76</v>
      </c>
      <c r="AG6" s="304">
        <v>0.0014134722222222222</v>
      </c>
    </row>
    <row r="7" spans="1:33" ht="12.75">
      <c r="A7" s="278">
        <v>21</v>
      </c>
      <c r="B7" s="275" t="s">
        <v>88</v>
      </c>
      <c r="C7" s="1" t="str">
        <f t="shared" si="9"/>
        <v>gavin newman</v>
      </c>
      <c r="D7" s="8" t="s">
        <v>51</v>
      </c>
      <c r="E7" s="322" t="s">
        <v>125</v>
      </c>
      <c r="F7" s="275"/>
      <c r="G7" s="275" t="s">
        <v>67</v>
      </c>
      <c r="H7" s="276">
        <f t="shared" si="0"/>
      </c>
      <c r="I7" s="276">
        <f t="shared" si="0"/>
      </c>
      <c r="J7" s="276">
        <f t="shared" si="0"/>
      </c>
      <c r="K7" s="276">
        <f t="shared" si="0"/>
      </c>
      <c r="L7" s="276">
        <f t="shared" si="0"/>
        <v>100</v>
      </c>
      <c r="M7" s="276">
        <f t="shared" si="0"/>
      </c>
      <c r="N7" s="276">
        <f t="shared" si="0"/>
      </c>
      <c r="O7" s="276">
        <f t="shared" si="0"/>
      </c>
      <c r="P7" s="276">
        <f t="shared" si="0"/>
      </c>
      <c r="Q7" s="276">
        <f t="shared" si="0"/>
      </c>
      <c r="R7" s="277">
        <f t="shared" si="0"/>
      </c>
      <c r="S7" s="103">
        <f t="shared" si="1"/>
        <v>100</v>
      </c>
      <c r="T7" s="278">
        <f t="shared" si="2"/>
        <v>0</v>
      </c>
      <c r="U7" s="279">
        <f t="shared" si="3"/>
        <v>117.688</v>
      </c>
      <c r="V7" s="280">
        <f t="shared" si="10"/>
        <v>1.793999999999997</v>
      </c>
      <c r="W7" s="158">
        <f t="shared" si="4"/>
        <v>0</v>
      </c>
      <c r="X7" s="198">
        <f t="shared" si="5"/>
        <v>4</v>
      </c>
      <c r="Y7" s="198">
        <f t="shared" si="6"/>
        <v>7</v>
      </c>
      <c r="Z7" s="198">
        <f>IF($Y7="n/a","",_xlfn.IFERROR(COUNTIF($Y$2:$Y7,"="&amp;Y7),""))</f>
        <v>1</v>
      </c>
      <c r="AA7" s="198">
        <f>COUNTIF($X$2:X6,"&lt;"&amp;X7)</f>
        <v>0</v>
      </c>
      <c r="AB7" s="208">
        <f t="shared" si="7"/>
        <v>100</v>
      </c>
      <c r="AC7" s="214">
        <f t="shared" si="8"/>
        <v>100</v>
      </c>
      <c r="AE7" s="258" t="s">
        <v>21</v>
      </c>
      <c r="AF7" s="305" t="s">
        <v>111</v>
      </c>
      <c r="AG7" s="466" t="s">
        <v>160</v>
      </c>
    </row>
    <row r="8" spans="1:33" ht="12.75">
      <c r="A8" s="358">
        <v>255</v>
      </c>
      <c r="B8" s="1" t="s">
        <v>116</v>
      </c>
      <c r="C8" s="1" t="str">
        <f t="shared" si="9"/>
        <v>owen boak</v>
      </c>
      <c r="D8" s="8" t="s">
        <v>26</v>
      </c>
      <c r="E8" s="11" t="s">
        <v>126</v>
      </c>
      <c r="F8" s="1"/>
      <c r="G8" s="1" t="s">
        <v>56</v>
      </c>
      <c r="H8" s="250">
        <f t="shared" si="0"/>
      </c>
      <c r="I8" s="250">
        <f t="shared" si="0"/>
      </c>
      <c r="J8" s="250">
        <f t="shared" si="0"/>
      </c>
      <c r="K8" s="250">
        <f t="shared" si="0"/>
      </c>
      <c r="L8" s="250">
        <f t="shared" si="0"/>
      </c>
      <c r="M8" s="250">
        <f t="shared" si="0"/>
      </c>
      <c r="N8" s="250">
        <f t="shared" si="0"/>
      </c>
      <c r="O8" s="250">
        <f t="shared" si="0"/>
      </c>
      <c r="P8" s="250">
        <f t="shared" si="0"/>
      </c>
      <c r="Q8" s="250">
        <f t="shared" si="0"/>
      </c>
      <c r="R8" s="271">
        <f t="shared" si="0"/>
      </c>
      <c r="S8" s="103">
        <f t="shared" si="1"/>
        <v>0</v>
      </c>
      <c r="T8" s="197">
        <f t="shared" si="2"/>
        <v>0</v>
      </c>
      <c r="U8" s="157">
        <f t="shared" si="3"/>
      </c>
      <c r="V8" s="211">
        <f t="shared" si="10"/>
      </c>
      <c r="W8" s="104"/>
      <c r="X8" s="198" t="str">
        <f t="shared" si="5"/>
        <v>n/a</v>
      </c>
      <c r="Y8" s="198" t="str">
        <f t="shared" si="6"/>
        <v>n/a</v>
      </c>
      <c r="Z8" s="198">
        <f>IF($Y8="n/a","",_xlfn.IFERROR(COUNTIF($Y$2:$Y8,"="&amp;Y8),""))</f>
      </c>
      <c r="AA8" s="198">
        <f>COUNTIF($X$2:X7,"&lt;"&amp;X8)</f>
        <v>0</v>
      </c>
      <c r="AB8" s="208">
        <f t="shared" si="7"/>
        <v>0</v>
      </c>
      <c r="AC8" s="214">
        <f t="shared" si="8"/>
        <v>0</v>
      </c>
      <c r="AE8" s="259" t="s">
        <v>51</v>
      </c>
      <c r="AF8" s="311" t="s">
        <v>88</v>
      </c>
      <c r="AG8" s="467" t="s">
        <v>159</v>
      </c>
    </row>
    <row r="9" spans="1:33" ht="12.75">
      <c r="A9" s="358">
        <v>82</v>
      </c>
      <c r="B9" s="1" t="s">
        <v>115</v>
      </c>
      <c r="C9" s="1" t="str">
        <f t="shared" si="9"/>
        <v>travis mcinnes</v>
      </c>
      <c r="D9" s="8" t="s">
        <v>26</v>
      </c>
      <c r="E9" s="11" t="s">
        <v>127</v>
      </c>
      <c r="F9" s="1"/>
      <c r="G9" s="1" t="s">
        <v>85</v>
      </c>
      <c r="H9" s="250">
        <f t="shared" si="0"/>
      </c>
      <c r="I9" s="250">
        <f t="shared" si="0"/>
      </c>
      <c r="J9" s="250">
        <f t="shared" si="0"/>
      </c>
      <c r="K9" s="250">
        <f t="shared" si="0"/>
      </c>
      <c r="L9" s="250">
        <f t="shared" si="0"/>
      </c>
      <c r="M9" s="250">
        <f t="shared" si="0"/>
      </c>
      <c r="N9" s="250">
        <f t="shared" si="0"/>
      </c>
      <c r="O9" s="250">
        <f t="shared" si="0"/>
      </c>
      <c r="P9" s="250">
        <f t="shared" si="0"/>
      </c>
      <c r="Q9" s="250">
        <f t="shared" si="0"/>
      </c>
      <c r="R9" s="271">
        <f t="shared" si="0"/>
      </c>
      <c r="S9" s="103">
        <f t="shared" si="1"/>
        <v>0</v>
      </c>
      <c r="T9" s="197">
        <f t="shared" si="2"/>
        <v>0</v>
      </c>
      <c r="U9" s="157">
        <f t="shared" si="3"/>
      </c>
      <c r="V9" s="211">
        <f t="shared" si="10"/>
      </c>
      <c r="W9" s="104"/>
      <c r="X9" s="198" t="str">
        <f t="shared" si="5"/>
        <v>n/a</v>
      </c>
      <c r="Y9" s="198" t="str">
        <f t="shared" si="6"/>
        <v>n/a</v>
      </c>
      <c r="Z9" s="198">
        <f>IF($Y9="n/a","",_xlfn.IFERROR(COUNTIF($Y$2:$Y9,"="&amp;Y9),""))</f>
      </c>
      <c r="AA9" s="198">
        <f>COUNTIF($X$2:X8,"&lt;"&amp;X9)</f>
        <v>0</v>
      </c>
      <c r="AB9" s="208">
        <f t="shared" si="7"/>
        <v>0</v>
      </c>
      <c r="AC9" s="214">
        <f t="shared" si="8"/>
        <v>0</v>
      </c>
      <c r="AE9" s="260" t="s">
        <v>52</v>
      </c>
      <c r="AF9" s="312" t="s">
        <v>74</v>
      </c>
      <c r="AG9" s="468" t="s">
        <v>158</v>
      </c>
    </row>
    <row r="10" spans="1:33" ht="12.75">
      <c r="A10" s="105">
        <v>64</v>
      </c>
      <c r="B10" s="35" t="s">
        <v>75</v>
      </c>
      <c r="C10" s="1" t="str">
        <f t="shared" si="9"/>
        <v>noel heritage</v>
      </c>
      <c r="D10" s="8" t="s">
        <v>21</v>
      </c>
      <c r="E10" s="323" t="s">
        <v>128</v>
      </c>
      <c r="F10" s="35"/>
      <c r="G10" s="35" t="s">
        <v>68</v>
      </c>
      <c r="H10" s="251">
        <f t="shared" si="0"/>
      </c>
      <c r="I10" s="251">
        <f t="shared" si="0"/>
      </c>
      <c r="J10" s="251">
        <f t="shared" si="0"/>
      </c>
      <c r="K10" s="251">
        <f t="shared" si="0"/>
      </c>
      <c r="L10" s="251">
        <f t="shared" si="0"/>
      </c>
      <c r="M10" s="251">
        <f t="shared" si="0"/>
        <v>100</v>
      </c>
      <c r="N10" s="251">
        <f t="shared" si="0"/>
      </c>
      <c r="O10" s="251">
        <f t="shared" si="0"/>
      </c>
      <c r="P10" s="251">
        <f t="shared" si="0"/>
      </c>
      <c r="Q10" s="251">
        <f t="shared" si="0"/>
      </c>
      <c r="R10" s="270">
        <f t="shared" si="0"/>
      </c>
      <c r="S10" s="103">
        <f t="shared" si="1"/>
        <v>100</v>
      </c>
      <c r="T10" s="105">
        <f t="shared" si="2"/>
        <v>0</v>
      </c>
      <c r="U10" s="216">
        <f t="shared" si="3"/>
        <v>120.58200000000001</v>
      </c>
      <c r="V10" s="210">
        <f t="shared" si="10"/>
        <v>1.1859999999999786</v>
      </c>
      <c r="W10" s="106">
        <f t="shared" si="4"/>
        <v>0</v>
      </c>
      <c r="X10" s="198">
        <f t="shared" si="5"/>
        <v>2</v>
      </c>
      <c r="Y10" s="198">
        <f t="shared" si="6"/>
        <v>4</v>
      </c>
      <c r="Z10" s="198">
        <f>IF($Y10="n/a","",_xlfn.IFERROR(COUNTIF($Y$2:$Y10,"="&amp;Y10),""))</f>
        <v>1</v>
      </c>
      <c r="AA10" s="198">
        <f>COUNTIF($X$2:X9,"&lt;"&amp;X10)</f>
        <v>0</v>
      </c>
      <c r="AB10" s="208">
        <f t="shared" si="7"/>
        <v>100</v>
      </c>
      <c r="AC10" s="214">
        <f t="shared" si="8"/>
        <v>100</v>
      </c>
      <c r="AE10" s="261" t="s">
        <v>16</v>
      </c>
      <c r="AF10" s="313" t="s">
        <v>106</v>
      </c>
      <c r="AG10" s="306">
        <v>0.0012893287037037038</v>
      </c>
    </row>
    <row r="11" spans="1:33" ht="12.75">
      <c r="A11" s="105">
        <v>142</v>
      </c>
      <c r="B11" s="35" t="s">
        <v>111</v>
      </c>
      <c r="C11" s="1" t="str">
        <f t="shared" si="9"/>
        <v>max lloyd</v>
      </c>
      <c r="D11" s="8" t="s">
        <v>21</v>
      </c>
      <c r="E11" s="323" t="s">
        <v>129</v>
      </c>
      <c r="F11" s="35"/>
      <c r="G11" s="35" t="s">
        <v>68</v>
      </c>
      <c r="H11" s="251">
        <f t="shared" si="0"/>
      </c>
      <c r="I11" s="251">
        <f t="shared" si="0"/>
      </c>
      <c r="J11" s="251">
        <f t="shared" si="0"/>
      </c>
      <c r="K11" s="251">
        <f t="shared" si="0"/>
      </c>
      <c r="L11" s="251">
        <f t="shared" si="0"/>
      </c>
      <c r="M11" s="251">
        <f t="shared" si="0"/>
        <v>75</v>
      </c>
      <c r="N11" s="251">
        <f t="shared" si="0"/>
      </c>
      <c r="O11" s="251">
        <f t="shared" si="0"/>
      </c>
      <c r="P11" s="251">
        <f t="shared" si="0"/>
      </c>
      <c r="Q11" s="251">
        <f t="shared" si="0"/>
      </c>
      <c r="R11" s="270">
        <f t="shared" si="0"/>
      </c>
      <c r="S11" s="103">
        <f t="shared" si="1"/>
        <v>75</v>
      </c>
      <c r="T11" s="105">
        <f>AB11-S11</f>
        <v>0</v>
      </c>
      <c r="U11" s="216">
        <f t="shared" si="3"/>
        <v>120.58200000000001</v>
      </c>
      <c r="V11" s="210">
        <f t="shared" si="10"/>
        <v>1.453000000000003</v>
      </c>
      <c r="W11" s="106">
        <f t="shared" si="4"/>
        <v>0</v>
      </c>
      <c r="X11" s="198">
        <f t="shared" si="5"/>
        <v>2</v>
      </c>
      <c r="Y11" s="198">
        <f t="shared" si="6"/>
        <v>4</v>
      </c>
      <c r="Z11" s="198">
        <f>IF($Y11="n/a","",_xlfn.IFERROR(COUNTIF($Y$2:$Y11,"="&amp;Y11),""))</f>
        <v>2</v>
      </c>
      <c r="AA11" s="198">
        <f>COUNTIF($X$2:X10,"&lt;"&amp;X11)</f>
        <v>0</v>
      </c>
      <c r="AB11" s="208">
        <f t="shared" si="7"/>
        <v>75</v>
      </c>
      <c r="AC11" s="214">
        <f t="shared" si="8"/>
        <v>75</v>
      </c>
      <c r="AE11" s="262" t="s">
        <v>13</v>
      </c>
      <c r="AF11" s="314" t="s">
        <v>82</v>
      </c>
      <c r="AG11" s="307">
        <v>0.0012727662037037037</v>
      </c>
    </row>
    <row r="12" spans="1:33" ht="13.5" thickBot="1">
      <c r="A12" s="283">
        <v>26</v>
      </c>
      <c r="B12" s="142" t="s">
        <v>76</v>
      </c>
      <c r="C12" s="1" t="str">
        <f t="shared" si="9"/>
        <v>robert downes</v>
      </c>
      <c r="D12" s="8" t="s">
        <v>4</v>
      </c>
      <c r="E12" s="324" t="s">
        <v>130</v>
      </c>
      <c r="F12" s="142"/>
      <c r="G12" s="142" t="s">
        <v>67</v>
      </c>
      <c r="H12" s="281">
        <f t="shared" si="0"/>
      </c>
      <c r="I12" s="281">
        <f t="shared" si="0"/>
      </c>
      <c r="J12" s="281">
        <f t="shared" si="0"/>
      </c>
      <c r="K12" s="281">
        <f t="shared" si="0"/>
      </c>
      <c r="L12" s="281">
        <f t="shared" si="0"/>
      </c>
      <c r="M12" s="281">
        <f t="shared" si="0"/>
      </c>
      <c r="N12" s="281">
        <f t="shared" si="0"/>
      </c>
      <c r="O12" s="281">
        <f t="shared" si="0"/>
      </c>
      <c r="P12" s="281">
        <f t="shared" si="0"/>
        <v>100</v>
      </c>
      <c r="Q12" s="281">
        <f t="shared" si="0"/>
      </c>
      <c r="R12" s="282">
        <f t="shared" si="0"/>
      </c>
      <c r="S12" s="103">
        <f t="shared" si="1"/>
        <v>100</v>
      </c>
      <c r="T12" s="283">
        <f aca="true" t="shared" si="11" ref="T12:T21">AB12-S12</f>
        <v>-40</v>
      </c>
      <c r="U12" s="284">
        <f t="shared" si="3"/>
        <v>118.93500000000002</v>
      </c>
      <c r="V12" s="285">
        <f t="shared" si="10"/>
        <v>4.921999999999997</v>
      </c>
      <c r="W12" s="286">
        <f t="shared" si="4"/>
        <v>-10</v>
      </c>
      <c r="X12" s="198">
        <f t="shared" si="5"/>
        <v>3</v>
      </c>
      <c r="Y12" s="198">
        <f t="shared" si="6"/>
        <v>5</v>
      </c>
      <c r="Z12" s="198">
        <f>IF($Y12="n/a","",_xlfn.IFERROR(COUNTIF($Y$2:$Y12,"="&amp;Y12),""))</f>
        <v>1</v>
      </c>
      <c r="AA12" s="198">
        <f>COUNTIF($X$2:X11,"&lt;"&amp;X12)</f>
        <v>2</v>
      </c>
      <c r="AB12" s="208">
        <f t="shared" si="7"/>
        <v>60</v>
      </c>
      <c r="AC12" s="214">
        <f t="shared" si="8"/>
        <v>50</v>
      </c>
      <c r="AE12" s="263" t="s">
        <v>14</v>
      </c>
      <c r="AF12" s="315" t="s">
        <v>107</v>
      </c>
      <c r="AG12" s="316">
        <v>0.0012022337962962963</v>
      </c>
    </row>
    <row r="13" spans="1:29" ht="12.75">
      <c r="A13" s="105">
        <v>612</v>
      </c>
      <c r="B13" s="35" t="s">
        <v>77</v>
      </c>
      <c r="C13" s="1" t="str">
        <f t="shared" si="9"/>
        <v>gareth pedley</v>
      </c>
      <c r="D13" s="8" t="s">
        <v>21</v>
      </c>
      <c r="E13" s="323" t="s">
        <v>131</v>
      </c>
      <c r="F13" s="35"/>
      <c r="G13" s="35" t="s">
        <v>85</v>
      </c>
      <c r="H13" s="251">
        <f t="shared" si="0"/>
      </c>
      <c r="I13" s="251">
        <f t="shared" si="0"/>
      </c>
      <c r="J13" s="251">
        <f t="shared" si="0"/>
      </c>
      <c r="K13" s="251">
        <f t="shared" si="0"/>
      </c>
      <c r="L13" s="251">
        <f t="shared" si="0"/>
      </c>
      <c r="M13" s="251">
        <f t="shared" si="0"/>
        <v>60</v>
      </c>
      <c r="N13" s="251">
        <f t="shared" si="0"/>
      </c>
      <c r="O13" s="251">
        <f t="shared" si="0"/>
      </c>
      <c r="P13" s="251">
        <f t="shared" si="0"/>
      </c>
      <c r="Q13" s="251">
        <f t="shared" si="0"/>
      </c>
      <c r="R13" s="270">
        <f t="shared" si="0"/>
      </c>
      <c r="S13" s="103">
        <f t="shared" si="1"/>
        <v>60</v>
      </c>
      <c r="T13" s="105">
        <f t="shared" si="11"/>
        <v>0</v>
      </c>
      <c r="U13" s="216">
        <f t="shared" si="3"/>
        <v>120.58200000000001</v>
      </c>
      <c r="V13" s="210">
        <f t="shared" si="10"/>
        <v>4.188000000000002</v>
      </c>
      <c r="W13" s="106">
        <f t="shared" si="4"/>
        <v>-10</v>
      </c>
      <c r="X13" s="198">
        <f t="shared" si="5"/>
        <v>2</v>
      </c>
      <c r="Y13" s="198">
        <f t="shared" si="6"/>
        <v>4</v>
      </c>
      <c r="Z13" s="198">
        <f>IF($Y13="n/a","",_xlfn.IFERROR(COUNTIF($Y$2:$Y13,"="&amp;Y13),""))</f>
        <v>3</v>
      </c>
      <c r="AA13" s="198">
        <f>COUNTIF($X$2:X12,"&lt;"&amp;X13)</f>
        <v>0</v>
      </c>
      <c r="AB13" s="208">
        <f t="shared" si="7"/>
        <v>60</v>
      </c>
      <c r="AC13" s="214">
        <f t="shared" si="8"/>
        <v>50</v>
      </c>
    </row>
    <row r="14" spans="1:29" ht="12.75">
      <c r="A14" s="107">
        <v>87</v>
      </c>
      <c r="B14" s="47" t="s">
        <v>80</v>
      </c>
      <c r="C14" s="1" t="str">
        <f t="shared" si="9"/>
        <v>steve williamsz</v>
      </c>
      <c r="D14" s="8" t="s">
        <v>5</v>
      </c>
      <c r="E14" s="54" t="s">
        <v>132</v>
      </c>
      <c r="F14" s="47"/>
      <c r="G14" s="47" t="s">
        <v>84</v>
      </c>
      <c r="H14" s="252">
        <f t="shared" si="0"/>
      </c>
      <c r="I14" s="252">
        <f t="shared" si="0"/>
      </c>
      <c r="J14" s="252">
        <f t="shared" si="0"/>
      </c>
      <c r="K14" s="252">
        <f t="shared" si="0"/>
      </c>
      <c r="L14" s="252">
        <f t="shared" si="0"/>
      </c>
      <c r="M14" s="252">
        <f t="shared" si="0"/>
      </c>
      <c r="N14" s="252">
        <f t="shared" si="0"/>
      </c>
      <c r="O14" s="252">
        <f t="shared" si="0"/>
      </c>
      <c r="P14" s="252">
        <f t="shared" si="0"/>
      </c>
      <c r="Q14" s="252">
        <f t="shared" si="0"/>
        <v>100</v>
      </c>
      <c r="R14" s="272">
        <f t="shared" si="0"/>
      </c>
      <c r="S14" s="103">
        <f t="shared" si="1"/>
        <v>100</v>
      </c>
      <c r="T14" s="107">
        <f t="shared" si="11"/>
        <v>0</v>
      </c>
      <c r="U14" s="217">
        <f t="shared" si="3"/>
        <v>122.89</v>
      </c>
      <c r="V14" s="212">
        <f t="shared" si="10"/>
        <v>2.2419999999999902</v>
      </c>
      <c r="W14" s="108">
        <f t="shared" si="4"/>
        <v>-5</v>
      </c>
      <c r="X14" s="198">
        <f t="shared" si="5"/>
        <v>1</v>
      </c>
      <c r="Y14" s="198">
        <f t="shared" si="6"/>
        <v>2</v>
      </c>
      <c r="Z14" s="198">
        <f>IF($Y14="n/a","",_xlfn.IFERROR(COUNTIF($Y$2:$Y14,"="&amp;Y14),""))</f>
        <v>1</v>
      </c>
      <c r="AA14" s="198">
        <f>COUNTIF($X$2:X13,"&lt;"&amp;X14)</f>
        <v>0</v>
      </c>
      <c r="AB14" s="208">
        <f t="shared" si="7"/>
        <v>100</v>
      </c>
      <c r="AC14" s="214">
        <f t="shared" si="8"/>
        <v>95</v>
      </c>
    </row>
    <row r="15" spans="1:29" ht="12.75">
      <c r="A15" s="358">
        <v>96</v>
      </c>
      <c r="B15" s="1" t="s">
        <v>133</v>
      </c>
      <c r="C15" s="1" t="str">
        <f t="shared" si="9"/>
        <v>david adam</v>
      </c>
      <c r="D15" s="8" t="s">
        <v>26</v>
      </c>
      <c r="E15" s="11" t="s">
        <v>134</v>
      </c>
      <c r="F15" s="1"/>
      <c r="G15" s="1" t="s">
        <v>135</v>
      </c>
      <c r="H15" s="250">
        <f t="shared" si="0"/>
      </c>
      <c r="I15" s="250">
        <f t="shared" si="0"/>
      </c>
      <c r="J15" s="250">
        <f t="shared" si="0"/>
      </c>
      <c r="K15" s="250">
        <f t="shared" si="0"/>
      </c>
      <c r="L15" s="250">
        <f t="shared" si="0"/>
      </c>
      <c r="M15" s="250">
        <f t="shared" si="0"/>
      </c>
      <c r="N15" s="250">
        <f t="shared" si="0"/>
      </c>
      <c r="O15" s="250">
        <f t="shared" si="0"/>
      </c>
      <c r="P15" s="250">
        <f t="shared" si="0"/>
      </c>
      <c r="Q15" s="250">
        <f t="shared" si="0"/>
      </c>
      <c r="R15" s="271">
        <f t="shared" si="0"/>
      </c>
      <c r="S15" s="103">
        <f t="shared" si="1"/>
        <v>0</v>
      </c>
      <c r="T15" s="197">
        <f t="shared" si="11"/>
        <v>0</v>
      </c>
      <c r="U15" s="157">
        <f t="shared" si="3"/>
      </c>
      <c r="V15" s="211">
        <f t="shared" si="10"/>
      </c>
      <c r="W15" s="104"/>
      <c r="X15" s="198" t="str">
        <f t="shared" si="5"/>
        <v>n/a</v>
      </c>
      <c r="Y15" s="198" t="str">
        <f t="shared" si="6"/>
        <v>n/a</v>
      </c>
      <c r="Z15" s="198">
        <f>IF($Y15="n/a","",_xlfn.IFERROR(COUNTIF($Y$2:$Y15,"="&amp;Y15),""))</f>
      </c>
      <c r="AA15" s="198">
        <f>COUNTIF($X$2:X14,"&lt;"&amp;X15)</f>
        <v>0</v>
      </c>
      <c r="AB15" s="208">
        <f t="shared" si="7"/>
        <v>0</v>
      </c>
      <c r="AC15" s="214">
        <f t="shared" si="8"/>
        <v>0</v>
      </c>
    </row>
    <row r="16" spans="1:29" ht="12.75">
      <c r="A16" s="358">
        <v>242</v>
      </c>
      <c r="B16" s="1" t="s">
        <v>105</v>
      </c>
      <c r="C16" s="1" t="str">
        <f t="shared" si="9"/>
        <v>leon bogers</v>
      </c>
      <c r="D16" s="8" t="s">
        <v>26</v>
      </c>
      <c r="E16" s="11" t="s">
        <v>136</v>
      </c>
      <c r="F16" s="1"/>
      <c r="G16" s="1" t="s">
        <v>86</v>
      </c>
      <c r="H16" s="250">
        <f t="shared" si="0"/>
      </c>
      <c r="I16" s="250">
        <f t="shared" si="0"/>
      </c>
      <c r="J16" s="250">
        <f t="shared" si="0"/>
      </c>
      <c r="K16" s="250">
        <f t="shared" si="0"/>
      </c>
      <c r="L16" s="250">
        <f t="shared" si="0"/>
      </c>
      <c r="M16" s="250">
        <f t="shared" si="0"/>
      </c>
      <c r="N16" s="250">
        <f t="shared" si="0"/>
      </c>
      <c r="O16" s="250">
        <f t="shared" si="0"/>
      </c>
      <c r="P16" s="250">
        <f t="shared" si="0"/>
      </c>
      <c r="Q16" s="250">
        <f t="shared" si="0"/>
      </c>
      <c r="R16" s="271">
        <f t="shared" si="0"/>
      </c>
      <c r="S16" s="103">
        <f t="shared" si="1"/>
        <v>0</v>
      </c>
      <c r="T16" s="197">
        <f t="shared" si="11"/>
        <v>0</v>
      </c>
      <c r="U16" s="157">
        <f t="shared" si="3"/>
      </c>
      <c r="V16" s="211">
        <f t="shared" si="10"/>
      </c>
      <c r="W16" s="104"/>
      <c r="X16" s="198" t="str">
        <f t="shared" si="5"/>
        <v>n/a</v>
      </c>
      <c r="Y16" s="198" t="str">
        <f t="shared" si="6"/>
        <v>n/a</v>
      </c>
      <c r="Z16" s="198">
        <f>IF($Y16="n/a","",_xlfn.IFERROR(COUNTIF($Y$2:$Y16,"="&amp;Y16),""))</f>
      </c>
      <c r="AA16" s="198">
        <f>COUNTIF($X$2:X15,"&lt;"&amp;X16)</f>
        <v>0</v>
      </c>
      <c r="AB16" s="208">
        <f t="shared" si="7"/>
        <v>0</v>
      </c>
      <c r="AC16" s="214">
        <f t="shared" si="8"/>
        <v>0</v>
      </c>
    </row>
    <row r="17" spans="1:29" ht="12.75">
      <c r="A17" s="107">
        <v>22</v>
      </c>
      <c r="B17" s="47" t="s">
        <v>79</v>
      </c>
      <c r="C17" s="1" t="str">
        <f t="shared" si="9"/>
        <v>john downes</v>
      </c>
      <c r="D17" s="8" t="s">
        <v>5</v>
      </c>
      <c r="E17" s="54" t="s">
        <v>137</v>
      </c>
      <c r="F17" s="47"/>
      <c r="G17" s="47" t="s">
        <v>55</v>
      </c>
      <c r="H17" s="252">
        <f t="shared" si="0"/>
      </c>
      <c r="I17" s="252">
        <f t="shared" si="0"/>
      </c>
      <c r="J17" s="252">
        <f t="shared" si="0"/>
      </c>
      <c r="K17" s="252">
        <f t="shared" si="0"/>
      </c>
      <c r="L17" s="252">
        <f t="shared" si="0"/>
      </c>
      <c r="M17" s="252">
        <f t="shared" si="0"/>
      </c>
      <c r="N17" s="252">
        <f t="shared" si="0"/>
      </c>
      <c r="O17" s="252">
        <f t="shared" si="0"/>
      </c>
      <c r="P17" s="252">
        <f t="shared" si="0"/>
      </c>
      <c r="Q17" s="252">
        <f t="shared" si="0"/>
        <v>75</v>
      </c>
      <c r="R17" s="272">
        <f t="shared" si="0"/>
      </c>
      <c r="S17" s="103">
        <f t="shared" si="1"/>
        <v>75</v>
      </c>
      <c r="T17" s="167">
        <f>AB17-S17</f>
        <v>0</v>
      </c>
      <c r="U17" s="217">
        <f>_xlfn.IFERROR(VLOOKUP(D17,BenchmarksRd6,3,0)*86400,"")</f>
        <v>122.89</v>
      </c>
      <c r="V17" s="342">
        <f t="shared" si="10"/>
        <v>5.521000000000001</v>
      </c>
      <c r="W17" s="108">
        <f t="shared" si="4"/>
        <v>-10</v>
      </c>
      <c r="X17" s="198">
        <f t="shared" si="5"/>
        <v>1</v>
      </c>
      <c r="Y17" s="198">
        <f t="shared" si="6"/>
        <v>2</v>
      </c>
      <c r="Z17" s="198">
        <f>IF($Y17="n/a","",_xlfn.IFERROR(COUNTIF($Y$2:$Y17,"="&amp;Y17),""))</f>
        <v>2</v>
      </c>
      <c r="AA17" s="198">
        <f>COUNTIF($X$2:X16,"&lt;"&amp;X17)</f>
        <v>0</v>
      </c>
      <c r="AB17" s="208">
        <f t="shared" si="7"/>
        <v>75</v>
      </c>
      <c r="AC17" s="214">
        <f t="shared" si="8"/>
        <v>65</v>
      </c>
    </row>
    <row r="18" spans="1:29" ht="12.75">
      <c r="A18" s="107">
        <v>77</v>
      </c>
      <c r="B18" s="47" t="s">
        <v>78</v>
      </c>
      <c r="C18" s="1" t="str">
        <f t="shared" si="9"/>
        <v>simeon ouzas</v>
      </c>
      <c r="D18" s="8" t="s">
        <v>5</v>
      </c>
      <c r="E18" s="54" t="s">
        <v>138</v>
      </c>
      <c r="F18" s="47"/>
      <c r="G18" s="47" t="s">
        <v>28</v>
      </c>
      <c r="H18" s="252">
        <f t="shared" si="0"/>
      </c>
      <c r="I18" s="252">
        <f t="shared" si="0"/>
      </c>
      <c r="J18" s="252">
        <f t="shared" si="0"/>
      </c>
      <c r="K18" s="252">
        <f t="shared" si="0"/>
      </c>
      <c r="L18" s="252">
        <f t="shared" si="0"/>
      </c>
      <c r="M18" s="252">
        <f t="shared" si="0"/>
      </c>
      <c r="N18" s="252">
        <f t="shared" si="0"/>
      </c>
      <c r="O18" s="252">
        <f t="shared" si="0"/>
      </c>
      <c r="P18" s="252">
        <f t="shared" si="0"/>
      </c>
      <c r="Q18" s="252">
        <f t="shared" si="0"/>
        <v>60</v>
      </c>
      <c r="R18" s="272">
        <f t="shared" si="0"/>
      </c>
      <c r="S18" s="103">
        <f t="shared" si="1"/>
        <v>60</v>
      </c>
      <c r="T18" s="107">
        <f t="shared" si="11"/>
        <v>0</v>
      </c>
      <c r="U18" s="217">
        <f t="shared" si="3"/>
        <v>122.89</v>
      </c>
      <c r="V18" s="212">
        <f t="shared" si="10"/>
        <v>9.197999999999993</v>
      </c>
      <c r="W18" s="108">
        <f t="shared" si="4"/>
        <v>-10</v>
      </c>
      <c r="X18" s="198">
        <f t="shared" si="5"/>
        <v>1</v>
      </c>
      <c r="Y18" s="198">
        <f t="shared" si="6"/>
        <v>2</v>
      </c>
      <c r="Z18" s="198">
        <f>IF($Y18="n/a","",_xlfn.IFERROR(COUNTIF($Y$2:$Y18,"="&amp;Y18),""))</f>
        <v>3</v>
      </c>
      <c r="AA18" s="198">
        <f>COUNTIF($X$2:X17,"&lt;"&amp;X18)</f>
        <v>0</v>
      </c>
      <c r="AB18" s="208">
        <f t="shared" si="7"/>
        <v>60</v>
      </c>
      <c r="AC18" s="214">
        <f t="shared" si="8"/>
        <v>50</v>
      </c>
    </row>
    <row r="19" spans="1:29" ht="12.75">
      <c r="A19" s="358">
        <v>550</v>
      </c>
      <c r="B19" s="1" t="s">
        <v>139</v>
      </c>
      <c r="C19" s="1" t="str">
        <f t="shared" si="9"/>
        <v>bartosz dajnowski</v>
      </c>
      <c r="D19" s="8" t="s">
        <v>26</v>
      </c>
      <c r="E19" s="11" t="s">
        <v>140</v>
      </c>
      <c r="F19" s="1"/>
      <c r="G19" s="1" t="s">
        <v>87</v>
      </c>
      <c r="H19" s="250">
        <f t="shared" si="0"/>
      </c>
      <c r="I19" s="250">
        <f t="shared" si="0"/>
      </c>
      <c r="J19" s="250">
        <f t="shared" si="0"/>
      </c>
      <c r="K19" s="250">
        <f t="shared" si="0"/>
      </c>
      <c r="L19" s="250">
        <f t="shared" si="0"/>
      </c>
      <c r="M19" s="250">
        <f t="shared" si="0"/>
      </c>
      <c r="N19" s="250">
        <f t="shared" si="0"/>
      </c>
      <c r="O19" s="250">
        <f t="shared" si="0"/>
      </c>
      <c r="P19" s="250">
        <f t="shared" si="0"/>
      </c>
      <c r="Q19" s="250">
        <f t="shared" si="0"/>
      </c>
      <c r="R19" s="271">
        <f t="shared" si="0"/>
      </c>
      <c r="S19" s="103">
        <f t="shared" si="1"/>
        <v>0</v>
      </c>
      <c r="T19" s="197">
        <f t="shared" si="11"/>
        <v>0</v>
      </c>
      <c r="U19" s="157">
        <f>_xlfn.IFERROR(VLOOKUP(D19,BenchmarksRd6,3,0)*86400,"")</f>
      </c>
      <c r="V19" s="211">
        <f t="shared" si="10"/>
      </c>
      <c r="W19" s="104"/>
      <c r="X19" s="198" t="str">
        <f t="shared" si="5"/>
        <v>n/a</v>
      </c>
      <c r="Y19" s="198" t="str">
        <f t="shared" si="6"/>
        <v>n/a</v>
      </c>
      <c r="Z19" s="198">
        <f>IF($Y19="n/a","",_xlfn.IFERROR(COUNTIF($Y$2:$Y19,"="&amp;Y19),""))</f>
      </c>
      <c r="AA19" s="198">
        <f>COUNTIF($X$2:X18,"&lt;"&amp;X19)</f>
        <v>0</v>
      </c>
      <c r="AB19" s="208">
        <f t="shared" si="7"/>
        <v>0</v>
      </c>
      <c r="AC19" s="214">
        <f t="shared" si="8"/>
        <v>0</v>
      </c>
    </row>
    <row r="20" spans="1:29" ht="12.75">
      <c r="A20" s="107">
        <v>89</v>
      </c>
      <c r="B20" s="47" t="s">
        <v>112</v>
      </c>
      <c r="C20" s="1" t="str">
        <f t="shared" si="9"/>
        <v>matthew cavell</v>
      </c>
      <c r="D20" s="8" t="s">
        <v>5</v>
      </c>
      <c r="E20" s="54" t="s">
        <v>141</v>
      </c>
      <c r="F20" s="47"/>
      <c r="G20" s="47" t="s">
        <v>28</v>
      </c>
      <c r="H20" s="252">
        <f t="shared" si="0"/>
      </c>
      <c r="I20" s="252">
        <f t="shared" si="0"/>
      </c>
      <c r="J20" s="252">
        <f t="shared" si="0"/>
      </c>
      <c r="K20" s="252">
        <f t="shared" si="0"/>
      </c>
      <c r="L20" s="252">
        <f t="shared" si="0"/>
      </c>
      <c r="M20" s="252">
        <f t="shared" si="0"/>
      </c>
      <c r="N20" s="252">
        <f t="shared" si="0"/>
      </c>
      <c r="O20" s="252">
        <f t="shared" si="0"/>
      </c>
      <c r="P20" s="252">
        <f t="shared" si="0"/>
      </c>
      <c r="Q20" s="252">
        <f t="shared" si="0"/>
        <v>45</v>
      </c>
      <c r="R20" s="272">
        <f t="shared" si="0"/>
      </c>
      <c r="S20" s="103">
        <f t="shared" si="1"/>
        <v>45</v>
      </c>
      <c r="T20" s="107">
        <f t="shared" si="11"/>
        <v>0</v>
      </c>
      <c r="U20" s="217">
        <f>_xlfn.IFERROR(VLOOKUP(D20,BenchmarksRd6,3,0)*86400,"")</f>
        <v>122.89</v>
      </c>
      <c r="V20" s="212">
        <f t="shared" si="10"/>
        <v>13.42400000000002</v>
      </c>
      <c r="W20" s="108">
        <f t="shared" si="4"/>
        <v>-10</v>
      </c>
      <c r="X20" s="198">
        <f t="shared" si="5"/>
        <v>1</v>
      </c>
      <c r="Y20" s="198">
        <f t="shared" si="6"/>
        <v>2</v>
      </c>
      <c r="Z20" s="198">
        <f>IF($Y20="n/a","",_xlfn.IFERROR(COUNTIF($Y$2:$Y20,"="&amp;Y20),""))</f>
        <v>4</v>
      </c>
      <c r="AA20" s="198">
        <f>COUNTIF($X$2:X19,"&lt;"&amp;X20)</f>
        <v>0</v>
      </c>
      <c r="AB20" s="208">
        <f t="shared" si="7"/>
        <v>45</v>
      </c>
      <c r="AC20" s="214">
        <f t="shared" si="8"/>
        <v>35</v>
      </c>
    </row>
    <row r="21" spans="1:33" ht="13.5" thickBot="1">
      <c r="A21" s="373">
        <v>65</v>
      </c>
      <c r="B21" s="274" t="s">
        <v>109</v>
      </c>
      <c r="C21" s="274" t="str">
        <f t="shared" si="9"/>
        <v>peter whitaker</v>
      </c>
      <c r="D21" s="371" t="s">
        <v>26</v>
      </c>
      <c r="E21" s="340" t="s">
        <v>142</v>
      </c>
      <c r="F21" s="274"/>
      <c r="G21" s="274" t="s">
        <v>84</v>
      </c>
      <c r="H21" s="287">
        <f t="shared" si="0"/>
      </c>
      <c r="I21" s="287">
        <f t="shared" si="0"/>
      </c>
      <c r="J21" s="287">
        <f t="shared" si="0"/>
      </c>
      <c r="K21" s="287">
        <f t="shared" si="0"/>
      </c>
      <c r="L21" s="287">
        <f t="shared" si="0"/>
      </c>
      <c r="M21" s="287">
        <f t="shared" si="0"/>
      </c>
      <c r="N21" s="287">
        <f t="shared" si="0"/>
      </c>
      <c r="O21" s="287">
        <f t="shared" si="0"/>
      </c>
      <c r="P21" s="287">
        <f t="shared" si="0"/>
      </c>
      <c r="Q21" s="287">
        <f t="shared" si="0"/>
      </c>
      <c r="R21" s="288">
        <f t="shared" si="0"/>
      </c>
      <c r="S21" s="325">
        <f t="shared" si="1"/>
        <v>0</v>
      </c>
      <c r="T21" s="203">
        <f t="shared" si="11"/>
        <v>0</v>
      </c>
      <c r="U21" s="164">
        <f>_xlfn.IFERROR(VLOOKUP(D21,BenchmarksRd6,3,0)*86400,"")</f>
      </c>
      <c r="V21" s="273">
        <f t="shared" si="10"/>
      </c>
      <c r="W21" s="178"/>
      <c r="X21" s="198" t="str">
        <f t="shared" si="5"/>
        <v>n/a</v>
      </c>
      <c r="Y21" s="198" t="str">
        <f t="shared" si="6"/>
        <v>n/a</v>
      </c>
      <c r="Z21" s="198">
        <f>IF($Y21="n/a","",_xlfn.IFERROR(COUNTIF($Y$2:$Y21,"="&amp;Y21),""))</f>
      </c>
      <c r="AA21" s="198">
        <f>COUNTIF($X$2:X20,"&lt;"&amp;X21)</f>
        <v>0</v>
      </c>
      <c r="AB21" s="208">
        <f t="shared" si="7"/>
        <v>0</v>
      </c>
      <c r="AC21" s="215">
        <f t="shared" si="8"/>
        <v>0</v>
      </c>
      <c r="AE21" s="294"/>
      <c r="AF21" s="13"/>
      <c r="AG21" s="295"/>
    </row>
    <row r="22" spans="6:29" ht="13.5" thickBot="1">
      <c r="F22" s="177"/>
      <c r="G22" s="179" t="s">
        <v>27</v>
      </c>
      <c r="H22" s="180">
        <f aca="true" t="shared" si="12" ref="H22:S22">COUNT(H2:H21)</f>
        <v>1</v>
      </c>
      <c r="I22" s="180">
        <f t="shared" si="12"/>
        <v>2</v>
      </c>
      <c r="J22" s="180">
        <f t="shared" si="12"/>
        <v>1</v>
      </c>
      <c r="K22" s="180">
        <f t="shared" si="12"/>
        <v>0</v>
      </c>
      <c r="L22" s="180">
        <f t="shared" si="12"/>
        <v>1</v>
      </c>
      <c r="M22" s="180">
        <f t="shared" si="12"/>
        <v>3</v>
      </c>
      <c r="N22" s="180">
        <f t="shared" si="12"/>
        <v>0</v>
      </c>
      <c r="O22" s="180">
        <f t="shared" si="12"/>
        <v>0</v>
      </c>
      <c r="P22" s="180">
        <f t="shared" si="12"/>
        <v>1</v>
      </c>
      <c r="Q22" s="180">
        <f t="shared" si="12"/>
        <v>4</v>
      </c>
      <c r="R22" s="180">
        <f t="shared" si="12"/>
        <v>0</v>
      </c>
      <c r="S22" s="318">
        <f t="shared" si="12"/>
        <v>20</v>
      </c>
      <c r="T22" s="218"/>
      <c r="U22" s="218"/>
      <c r="V22" s="206"/>
      <c r="W22" s="218"/>
      <c r="X22" s="218"/>
      <c r="Y22" s="218"/>
      <c r="Z22" s="218"/>
      <c r="AA22" s="218"/>
      <c r="AB22" s="218"/>
      <c r="AC22" s="218"/>
    </row>
    <row r="23" spans="20:29" ht="12.75">
      <c r="T23" s="8"/>
      <c r="U23" s="8"/>
      <c r="V23" s="206"/>
      <c r="W23" s="8"/>
      <c r="X23" s="8"/>
      <c r="Y23" s="8"/>
      <c r="Z23" s="8"/>
      <c r="AA23" s="8"/>
      <c r="AB23" s="8"/>
      <c r="AC23" s="8"/>
    </row>
    <row r="24" spans="2:28" ht="12.75">
      <c r="B24" s="2"/>
      <c r="C24" s="2"/>
      <c r="D24" s="111"/>
      <c r="T24" s="111"/>
      <c r="X24" s="111"/>
      <c r="Y24" s="111"/>
      <c r="Z24" s="111"/>
      <c r="AA24" s="111"/>
      <c r="AB24" s="111"/>
    </row>
  </sheetData>
  <sheetProtection/>
  <mergeCells count="1">
    <mergeCell ref="AE1:AG1"/>
  </mergeCells>
  <conditionalFormatting sqref="B2">
    <cfRule type="expression" priority="67" dxfId="16" stopIfTrue="1">
      <formula>"IF(D2=""OPN"",0,1)"</formula>
    </cfRule>
    <cfRule type="expression" priority="68" dxfId="15" stopIfTrue="1">
      <formula>"if(d2=""OPN"")"</formula>
    </cfRule>
  </conditionalFormatting>
  <conditionalFormatting sqref="D2:D3 D5:D10">
    <cfRule type="containsText" priority="56" dxfId="2" operator="containsText" stopIfTrue="1" text="OPN">
      <formula>NOT(ISERROR(SEARCH("OPN",D2)))</formula>
    </cfRule>
    <cfRule type="containsText" priority="57" dxfId="1" operator="containsText" stopIfTrue="1" text="RES">
      <formula>NOT(ISERROR(SEARCH("RES",D2)))</formula>
    </cfRule>
    <cfRule type="containsText" priority="58" dxfId="0" operator="containsText" stopIfTrue="1" text="SMOD">
      <formula>NOT(ISERROR(SEARCH("SMOD",D2)))</formula>
    </cfRule>
    <cfRule type="containsText" priority="59" dxfId="17" operator="containsText" stopIfTrue="1" text="CDMOD">
      <formula>NOT(ISERROR(SEARCH("CDMOD",D2)))</formula>
    </cfRule>
    <cfRule type="containsText" priority="60" dxfId="18" operator="containsText" stopIfTrue="1" text="ABMOD">
      <formula>NOT(ISERROR(SEARCH("ABMOD",D2)))</formula>
    </cfRule>
    <cfRule type="containsText" priority="61" dxfId="19" operator="containsText" stopIfTrue="1" text="SND">
      <formula>NOT(ISERROR(SEARCH("SND",D2)))</formula>
    </cfRule>
    <cfRule type="containsText" priority="62" dxfId="20" operator="containsText" stopIfTrue="1" text="SNC">
      <formula>NOT(ISERROR(SEARCH("SNC",D2)))</formula>
    </cfRule>
    <cfRule type="containsText" priority="63" dxfId="21" operator="containsText" stopIfTrue="1" text="NBC">
      <formula>NOT(ISERROR(SEARCH("NBC",D2)))</formula>
    </cfRule>
    <cfRule type="containsText" priority="64" dxfId="22" operator="containsText" stopIfTrue="1" text="NAC">
      <formula>NOT(ISERROR(SEARCH("NAC",D2)))</formula>
    </cfRule>
    <cfRule type="containsText" priority="65" dxfId="23" operator="containsText" stopIfTrue="1" text="SNB">
      <formula>NOT(ISERROR(SEARCH("SNB",D2)))</formula>
    </cfRule>
    <cfRule type="containsText" priority="66" dxfId="24" operator="containsText" stopIfTrue="1" text="SNA">
      <formula>NOT(ISERROR(SEARCH("SNA",D2)))</formula>
    </cfRule>
  </conditionalFormatting>
  <conditionalFormatting sqref="D11:D16 D18">
    <cfRule type="containsText" priority="45" dxfId="2" operator="containsText" stopIfTrue="1" text="OPN">
      <formula>NOT(ISERROR(SEARCH("OPN",D11)))</formula>
    </cfRule>
    <cfRule type="containsText" priority="46" dxfId="1" operator="containsText" stopIfTrue="1" text="RES">
      <formula>NOT(ISERROR(SEARCH("RES",D11)))</formula>
    </cfRule>
    <cfRule type="containsText" priority="47" dxfId="0" operator="containsText" stopIfTrue="1" text="SMOD">
      <formula>NOT(ISERROR(SEARCH("SMOD",D11)))</formula>
    </cfRule>
    <cfRule type="containsText" priority="48" dxfId="17" operator="containsText" stopIfTrue="1" text="CDMOD">
      <formula>NOT(ISERROR(SEARCH("CDMOD",D11)))</formula>
    </cfRule>
    <cfRule type="containsText" priority="49" dxfId="18" operator="containsText" stopIfTrue="1" text="ABMOD">
      <formula>NOT(ISERROR(SEARCH("ABMOD",D11)))</formula>
    </cfRule>
    <cfRule type="containsText" priority="50" dxfId="19" operator="containsText" stopIfTrue="1" text="SND">
      <formula>NOT(ISERROR(SEARCH("SND",D11)))</formula>
    </cfRule>
    <cfRule type="containsText" priority="51" dxfId="20" operator="containsText" stopIfTrue="1" text="SNC">
      <formula>NOT(ISERROR(SEARCH("SNC",D11)))</formula>
    </cfRule>
    <cfRule type="containsText" priority="52" dxfId="21" operator="containsText" stopIfTrue="1" text="NBC">
      <formula>NOT(ISERROR(SEARCH("NBC",D11)))</formula>
    </cfRule>
    <cfRule type="containsText" priority="53" dxfId="22" operator="containsText" stopIfTrue="1" text="NAC">
      <formula>NOT(ISERROR(SEARCH("NAC",D11)))</formula>
    </cfRule>
    <cfRule type="containsText" priority="54" dxfId="23" operator="containsText" stopIfTrue="1" text="SNB">
      <formula>NOT(ISERROR(SEARCH("SNB",D11)))</formula>
    </cfRule>
    <cfRule type="containsText" priority="55" dxfId="24" operator="containsText" stopIfTrue="1" text="SNA">
      <formula>NOT(ISERROR(SEARCH("SNA",D11)))</formula>
    </cfRule>
  </conditionalFormatting>
  <conditionalFormatting sqref="D4">
    <cfRule type="containsText" priority="34" dxfId="2" operator="containsText" stopIfTrue="1" text="OPN">
      <formula>NOT(ISERROR(SEARCH("OPN",D4)))</formula>
    </cfRule>
    <cfRule type="containsText" priority="35" dxfId="1" operator="containsText" stopIfTrue="1" text="RES">
      <formula>NOT(ISERROR(SEARCH("RES",D4)))</formula>
    </cfRule>
    <cfRule type="containsText" priority="36" dxfId="0" operator="containsText" stopIfTrue="1" text="SMOD">
      <formula>NOT(ISERROR(SEARCH("SMOD",D4)))</formula>
    </cfRule>
    <cfRule type="containsText" priority="37" dxfId="17" operator="containsText" stopIfTrue="1" text="CDMOD">
      <formula>NOT(ISERROR(SEARCH("CDMOD",D4)))</formula>
    </cfRule>
    <cfRule type="containsText" priority="38" dxfId="18" operator="containsText" stopIfTrue="1" text="ABMOD">
      <formula>NOT(ISERROR(SEARCH("ABMOD",D4)))</formula>
    </cfRule>
    <cfRule type="containsText" priority="39" dxfId="19" operator="containsText" stopIfTrue="1" text="SND">
      <formula>NOT(ISERROR(SEARCH("SND",D4)))</formula>
    </cfRule>
    <cfRule type="containsText" priority="40" dxfId="20" operator="containsText" stopIfTrue="1" text="SNC">
      <formula>NOT(ISERROR(SEARCH("SNC",D4)))</formula>
    </cfRule>
    <cfRule type="containsText" priority="41" dxfId="21" operator="containsText" stopIfTrue="1" text="NBC">
      <formula>NOT(ISERROR(SEARCH("NBC",D4)))</formula>
    </cfRule>
    <cfRule type="containsText" priority="42" dxfId="22" operator="containsText" stopIfTrue="1" text="NAC">
      <formula>NOT(ISERROR(SEARCH("NAC",D4)))</formula>
    </cfRule>
    <cfRule type="containsText" priority="43" dxfId="23" operator="containsText" stopIfTrue="1" text="SNB">
      <formula>NOT(ISERROR(SEARCH("SNB",D4)))</formula>
    </cfRule>
    <cfRule type="containsText" priority="44" dxfId="24" operator="containsText" stopIfTrue="1" text="SNA">
      <formula>NOT(ISERROR(SEARCH("SNA",D4)))</formula>
    </cfRule>
  </conditionalFormatting>
  <conditionalFormatting sqref="D17">
    <cfRule type="containsText" priority="23" dxfId="2" operator="containsText" stopIfTrue="1" text="OPN">
      <formula>NOT(ISERROR(SEARCH("OPN",D17)))</formula>
    </cfRule>
    <cfRule type="containsText" priority="24" dxfId="1" operator="containsText" stopIfTrue="1" text="RES">
      <formula>NOT(ISERROR(SEARCH("RES",D17)))</formula>
    </cfRule>
    <cfRule type="containsText" priority="25" dxfId="0" operator="containsText" stopIfTrue="1" text="SMOD">
      <formula>NOT(ISERROR(SEARCH("SMOD",D17)))</formula>
    </cfRule>
    <cfRule type="containsText" priority="26" dxfId="17" operator="containsText" stopIfTrue="1" text="CDMOD">
      <formula>NOT(ISERROR(SEARCH("CDMOD",D17)))</formula>
    </cfRule>
    <cfRule type="containsText" priority="27" dxfId="18" operator="containsText" stopIfTrue="1" text="ABMOD">
      <formula>NOT(ISERROR(SEARCH("ABMOD",D17)))</formula>
    </cfRule>
    <cfRule type="containsText" priority="28" dxfId="19" operator="containsText" stopIfTrue="1" text="SND">
      <formula>NOT(ISERROR(SEARCH("SND",D17)))</formula>
    </cfRule>
    <cfRule type="containsText" priority="29" dxfId="20" operator="containsText" stopIfTrue="1" text="SNC">
      <formula>NOT(ISERROR(SEARCH("SNC",D17)))</formula>
    </cfRule>
    <cfRule type="containsText" priority="30" dxfId="21" operator="containsText" stopIfTrue="1" text="NBC">
      <formula>NOT(ISERROR(SEARCH("NBC",D17)))</formula>
    </cfRule>
    <cfRule type="containsText" priority="31" dxfId="22" operator="containsText" stopIfTrue="1" text="NAC">
      <formula>NOT(ISERROR(SEARCH("NAC",D17)))</formula>
    </cfRule>
    <cfRule type="containsText" priority="32" dxfId="23" operator="containsText" stopIfTrue="1" text="SNB">
      <formula>NOT(ISERROR(SEARCH("SNB",D17)))</formula>
    </cfRule>
    <cfRule type="containsText" priority="33" dxfId="24" operator="containsText" stopIfTrue="1" text="SNA">
      <formula>NOT(ISERROR(SEARCH("SNA",D17)))</formula>
    </cfRule>
  </conditionalFormatting>
  <conditionalFormatting sqref="D19:D21">
    <cfRule type="containsText" priority="1" dxfId="2" operator="containsText" stopIfTrue="1" text="OPN">
      <formula>NOT(ISERROR(SEARCH("OPN",D19)))</formula>
    </cfRule>
    <cfRule type="containsText" priority="2" dxfId="1" operator="containsText" stopIfTrue="1" text="RES">
      <formula>NOT(ISERROR(SEARCH("RES",D19)))</formula>
    </cfRule>
    <cfRule type="containsText" priority="3" dxfId="0" operator="containsText" stopIfTrue="1" text="SMOD">
      <formula>NOT(ISERROR(SEARCH("SMOD",D19)))</formula>
    </cfRule>
    <cfRule type="containsText" priority="4" dxfId="17" operator="containsText" stopIfTrue="1" text="CDMOD">
      <formula>NOT(ISERROR(SEARCH("CDMOD",D19)))</formula>
    </cfRule>
    <cfRule type="containsText" priority="5" dxfId="18" operator="containsText" stopIfTrue="1" text="ABMOD">
      <formula>NOT(ISERROR(SEARCH("ABMOD",D19)))</formula>
    </cfRule>
    <cfRule type="containsText" priority="6" dxfId="19" operator="containsText" stopIfTrue="1" text="SND">
      <formula>NOT(ISERROR(SEARCH("SND",D19)))</formula>
    </cfRule>
    <cfRule type="containsText" priority="7" dxfId="20" operator="containsText" stopIfTrue="1" text="SNC">
      <formula>NOT(ISERROR(SEARCH("SNC",D19)))</formula>
    </cfRule>
    <cfRule type="containsText" priority="8" dxfId="21" operator="containsText" stopIfTrue="1" text="NBC">
      <formula>NOT(ISERROR(SEARCH("NBC",D19)))</formula>
    </cfRule>
    <cfRule type="containsText" priority="9" dxfId="22" operator="containsText" stopIfTrue="1" text="NAC">
      <formula>NOT(ISERROR(SEARCH("NAC",D19)))</formula>
    </cfRule>
    <cfRule type="containsText" priority="10" dxfId="23" operator="containsText" stopIfTrue="1" text="SNB">
      <formula>NOT(ISERROR(SEARCH("SNB",D19)))</formula>
    </cfRule>
    <cfRule type="containsText" priority="11" dxfId="24" operator="containsText" stopIfTrue="1" text="SNA">
      <formula>NOT(ISERROR(SEARCH("SNA",D19)))</formula>
    </cfRule>
  </conditionalFormatting>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1" sqref="A1"/>
    </sheetView>
  </sheetViews>
  <sheetFormatPr defaultColWidth="8.8515625" defaultRowHeight="12.75"/>
  <cols>
    <col min="1" max="1" width="7.8515625" style="109" customWidth="1"/>
    <col min="2" max="2" width="18.8515625" style="110" customWidth="1"/>
    <col min="3" max="3" width="20.8515625" style="110" hidden="1" customWidth="1"/>
    <col min="4" max="4" width="7.7109375" style="110" bestFit="1" customWidth="1"/>
    <col min="5" max="5" width="10.421875" style="110" customWidth="1"/>
    <col min="6" max="6" width="14.28125" style="110" bestFit="1" customWidth="1"/>
    <col min="7" max="7" width="9.57421875" style="110" customWidth="1"/>
    <col min="8" max="18" width="7.7109375" style="110" customWidth="1"/>
    <col min="19" max="19" width="6.7109375" style="110" customWidth="1"/>
    <col min="20" max="20" width="7.8515625" style="110" customWidth="1"/>
    <col min="21" max="21" width="8.28125" style="0" customWidth="1"/>
    <col min="22" max="22" width="8.8515625" style="156" customWidth="1"/>
    <col min="23" max="23" width="8.8515625" style="0" customWidth="1"/>
    <col min="24" max="24" width="14.28125" style="110" hidden="1" customWidth="1"/>
    <col min="25" max="27" width="8.8515625" style="110" hidden="1" customWidth="1"/>
    <col min="28" max="28" width="11.421875" style="110" hidden="1" customWidth="1"/>
    <col min="29" max="29" width="8.8515625" style="0" customWidth="1"/>
    <col min="30" max="31" width="8.8515625" style="110" customWidth="1"/>
    <col min="32" max="32" width="21.00390625" style="110" bestFit="1" customWidth="1"/>
    <col min="33" max="33" width="9.57421875" style="110" customWidth="1"/>
    <col min="34" max="16384" width="8.8515625" style="110" customWidth="1"/>
  </cols>
  <sheetData>
    <row r="1" spans="1:33" s="109" customFormat="1" ht="42.75" customHeight="1" thickBot="1">
      <c r="A1" s="181" t="s">
        <v>23</v>
      </c>
      <c r="B1" s="182" t="s">
        <v>1</v>
      </c>
      <c r="C1" s="183" t="s">
        <v>1</v>
      </c>
      <c r="D1" s="183" t="s">
        <v>2</v>
      </c>
      <c r="E1" s="184" t="s">
        <v>24</v>
      </c>
      <c r="F1" s="185"/>
      <c r="G1" s="185" t="s">
        <v>25</v>
      </c>
      <c r="H1" s="186" t="s">
        <v>14</v>
      </c>
      <c r="I1" s="187" t="s">
        <v>13</v>
      </c>
      <c r="J1" s="188" t="s">
        <v>16</v>
      </c>
      <c r="K1" s="189" t="s">
        <v>52</v>
      </c>
      <c r="L1" s="190" t="s">
        <v>51</v>
      </c>
      <c r="M1" s="191" t="s">
        <v>21</v>
      </c>
      <c r="N1" s="192" t="s">
        <v>22</v>
      </c>
      <c r="O1" s="193" t="s">
        <v>50</v>
      </c>
      <c r="P1" s="194" t="s">
        <v>4</v>
      </c>
      <c r="Q1" s="195" t="s">
        <v>5</v>
      </c>
      <c r="R1" s="196" t="s">
        <v>3</v>
      </c>
      <c r="S1" s="326" t="s">
        <v>64</v>
      </c>
      <c r="T1" s="204" t="s">
        <v>95</v>
      </c>
      <c r="U1" s="204" t="s">
        <v>60</v>
      </c>
      <c r="V1" s="207" t="s">
        <v>61</v>
      </c>
      <c r="W1" s="205" t="s">
        <v>63</v>
      </c>
      <c r="X1" s="353" t="s">
        <v>93</v>
      </c>
      <c r="Y1" s="353" t="s">
        <v>2</v>
      </c>
      <c r="Z1" s="353" t="s">
        <v>97</v>
      </c>
      <c r="AA1" s="353" t="s">
        <v>89</v>
      </c>
      <c r="AB1" s="353" t="s">
        <v>94</v>
      </c>
      <c r="AC1" s="352" t="s">
        <v>98</v>
      </c>
      <c r="AE1" s="477" t="s">
        <v>108</v>
      </c>
      <c r="AF1" s="478"/>
      <c r="AG1" s="479"/>
    </row>
    <row r="2" spans="1:33" ht="12.75">
      <c r="A2" s="171">
        <v>6</v>
      </c>
      <c r="B2" s="172" t="s">
        <v>106</v>
      </c>
      <c r="C2" s="172" t="str">
        <f aca="true" t="shared" si="0" ref="C2:C24">LOWER(B2)</f>
        <v>russell garner</v>
      </c>
      <c r="D2" s="404" t="s">
        <v>16</v>
      </c>
      <c r="E2" s="405">
        <v>0.001119988425925926</v>
      </c>
      <c r="F2" s="406" t="s">
        <v>164</v>
      </c>
      <c r="G2" s="404" t="s">
        <v>165</v>
      </c>
      <c r="H2" s="265">
        <f>IF($D2=H$1,$S2,"")</f>
      </c>
      <c r="I2" s="265">
        <f aca="true" t="shared" si="1" ref="I2:R2">IF($D2=I$1,$S2,"")</f>
      </c>
      <c r="J2" s="265">
        <f t="shared" si="1"/>
        <v>100</v>
      </c>
      <c r="K2" s="265">
        <f t="shared" si="1"/>
      </c>
      <c r="L2" s="265">
        <f t="shared" si="1"/>
      </c>
      <c r="M2" s="265">
        <f t="shared" si="1"/>
      </c>
      <c r="N2" s="265">
        <f t="shared" si="1"/>
      </c>
      <c r="O2" s="265">
        <f t="shared" si="1"/>
      </c>
      <c r="P2" s="265">
        <f t="shared" si="1"/>
      </c>
      <c r="Q2" s="265">
        <f t="shared" si="1"/>
      </c>
      <c r="R2" s="268">
        <f t="shared" si="1"/>
      </c>
      <c r="S2" s="354">
        <v>100</v>
      </c>
      <c r="T2" s="171">
        <f aca="true" t="shared" si="2" ref="T2:T24">AB2-S2</f>
        <v>0</v>
      </c>
      <c r="U2" s="266">
        <f aca="true" t="shared" si="3" ref="U2:U24">_xlfn.IFERROR(VLOOKUP(D2,Benchmarks,3,0)*86400,"")</f>
        <v>97.475</v>
      </c>
      <c r="V2" s="267">
        <f>(($E2*86400)-U2)</f>
        <v>-0.7079999999999842</v>
      </c>
      <c r="W2" s="173">
        <f>IF(V2&lt;=0,10,IF(V2&lt;1,5,IF(V2&lt;2,0,IF(V2&lt;3,-5,-10))))</f>
        <v>10</v>
      </c>
      <c r="X2" s="469">
        <v>5</v>
      </c>
      <c r="Y2" s="219">
        <v>9</v>
      </c>
      <c r="Z2" s="219">
        <f>IF($Y2="n/a","",_xlfn.IFERROR(COUNTIF($Y$2:$Y2,"="&amp;Y2),""))</f>
        <v>1</v>
      </c>
      <c r="AA2" s="219">
        <f>COUNTIF($X1:X$2,"&lt;"&amp;X2)</f>
        <v>0</v>
      </c>
      <c r="AB2" s="249">
        <v>100</v>
      </c>
      <c r="AC2" s="213">
        <f aca="true" t="shared" si="4" ref="AC2:AC24">(S2+T2+W2)</f>
        <v>110</v>
      </c>
      <c r="AE2" s="253" t="s">
        <v>3</v>
      </c>
      <c r="AF2" s="454" t="s">
        <v>76</v>
      </c>
      <c r="AG2" s="455">
        <v>0.0012429050925925925</v>
      </c>
    </row>
    <row r="3" spans="1:33" ht="12.75">
      <c r="A3" s="112">
        <v>39</v>
      </c>
      <c r="B3" s="65" t="s">
        <v>82</v>
      </c>
      <c r="C3" s="65" t="str">
        <f t="shared" si="0"/>
        <v>paul ledwith</v>
      </c>
      <c r="D3" s="69" t="s">
        <v>13</v>
      </c>
      <c r="E3" s="421">
        <v>0.0011224537037037039</v>
      </c>
      <c r="F3" s="69"/>
      <c r="G3" s="69" t="s">
        <v>176</v>
      </c>
      <c r="H3" s="71">
        <f aca="true" t="shared" si="5" ref="H3:R24">IF($D3=H$1,$S3,"")</f>
      </c>
      <c r="I3" s="71">
        <f t="shared" si="5"/>
        <v>100</v>
      </c>
      <c r="J3" s="71">
        <f t="shared" si="5"/>
      </c>
      <c r="K3" s="71">
        <f t="shared" si="5"/>
      </c>
      <c r="L3" s="71">
        <f t="shared" si="5"/>
      </c>
      <c r="M3" s="71">
        <f t="shared" si="5"/>
      </c>
      <c r="N3" s="71">
        <f t="shared" si="5"/>
      </c>
      <c r="O3" s="71">
        <f t="shared" si="5"/>
      </c>
      <c r="P3" s="71">
        <f t="shared" si="5"/>
      </c>
      <c r="Q3" s="71">
        <f t="shared" si="5"/>
      </c>
      <c r="R3" s="269">
        <f t="shared" si="5"/>
      </c>
      <c r="S3" s="355">
        <v>100</v>
      </c>
      <c r="T3" s="112">
        <f t="shared" si="2"/>
        <v>-25</v>
      </c>
      <c r="U3" s="264">
        <f t="shared" si="3"/>
        <v>95.917</v>
      </c>
      <c r="V3" s="209">
        <f>(($E3*86400)-U3)</f>
        <v>1.0630000000000166</v>
      </c>
      <c r="W3" s="113">
        <f>IF(V3&lt;=0,10,IF(V3&lt;1,5,IF(V3&lt;2,0,IF(V3&lt;3,-5,-10))))</f>
        <v>0</v>
      </c>
      <c r="X3" s="470">
        <v>6</v>
      </c>
      <c r="Y3" s="198">
        <v>10</v>
      </c>
      <c r="Z3" s="198">
        <f>IF($Y3="n/a","",_xlfn.IFERROR(COUNTIF($Y$2:$Y3,"="&amp;Y3),""))</f>
        <v>1</v>
      </c>
      <c r="AA3" s="198">
        <f>COUNTIF($X$2:X2,"&lt;"&amp;X3)</f>
        <v>1</v>
      </c>
      <c r="AB3" s="208">
        <v>75</v>
      </c>
      <c r="AC3" s="214">
        <f t="shared" si="4"/>
        <v>75</v>
      </c>
      <c r="AE3" s="254" t="s">
        <v>5</v>
      </c>
      <c r="AF3" s="357" t="s">
        <v>77</v>
      </c>
      <c r="AG3" s="456" t="s">
        <v>172</v>
      </c>
    </row>
    <row r="4" spans="1:33" ht="12.75">
      <c r="A4" s="112">
        <v>124</v>
      </c>
      <c r="B4" s="65" t="s">
        <v>83</v>
      </c>
      <c r="C4" s="65" t="str">
        <f t="shared" si="0"/>
        <v>ray monik</v>
      </c>
      <c r="D4" s="69" t="s">
        <v>13</v>
      </c>
      <c r="E4" s="421">
        <v>0.0011433333333333332</v>
      </c>
      <c r="F4" s="69"/>
      <c r="G4" s="69" t="s">
        <v>165</v>
      </c>
      <c r="H4" s="71">
        <f t="shared" si="5"/>
      </c>
      <c r="I4" s="71">
        <f t="shared" si="5"/>
        <v>75</v>
      </c>
      <c r="J4" s="71">
        <f t="shared" si="5"/>
      </c>
      <c r="K4" s="71">
        <f t="shared" si="5"/>
      </c>
      <c r="L4" s="71">
        <f t="shared" si="5"/>
      </c>
      <c r="M4" s="71">
        <f t="shared" si="5"/>
      </c>
      <c r="N4" s="71">
        <f t="shared" si="5"/>
      </c>
      <c r="O4" s="71">
        <f t="shared" si="5"/>
      </c>
      <c r="P4" s="71">
        <f t="shared" si="5"/>
      </c>
      <c r="Q4" s="71">
        <f t="shared" si="5"/>
      </c>
      <c r="R4" s="269">
        <f t="shared" si="5"/>
      </c>
      <c r="S4" s="355">
        <v>75</v>
      </c>
      <c r="T4" s="112">
        <f>AB4-S4</f>
        <v>-15</v>
      </c>
      <c r="U4" s="264">
        <f t="shared" si="3"/>
        <v>95.917</v>
      </c>
      <c r="V4" s="209">
        <f>(($E4*86400)-U4)</f>
        <v>2.8669999999999902</v>
      </c>
      <c r="W4" s="113">
        <f>IF(V4&lt;=0,10,IF(V4&lt;1,5,IF(V4&lt;2,0,IF(V4&lt;3,-5,-10))))</f>
        <v>-5</v>
      </c>
      <c r="X4" s="470">
        <v>6</v>
      </c>
      <c r="Y4" s="198">
        <v>10</v>
      </c>
      <c r="Z4" s="198">
        <f>IF($Y4="n/a","",_xlfn.IFERROR(COUNTIF($Y$2:$Y4,"="&amp;Y4),""))</f>
        <v>2</v>
      </c>
      <c r="AA4" s="198">
        <f>COUNTIF($X$2:X3,"&lt;"&amp;X4)</f>
        <v>1</v>
      </c>
      <c r="AB4" s="208">
        <v>60</v>
      </c>
      <c r="AC4" s="214">
        <f t="shared" si="4"/>
        <v>55</v>
      </c>
      <c r="AE4" s="255" t="s">
        <v>4</v>
      </c>
      <c r="AF4" s="141" t="s">
        <v>74</v>
      </c>
      <c r="AG4" s="359">
        <v>0.0011998611111111112</v>
      </c>
    </row>
    <row r="5" spans="1:33" ht="12.75">
      <c r="A5" s="407">
        <v>46</v>
      </c>
      <c r="B5" s="408" t="s">
        <v>177</v>
      </c>
      <c r="C5" s="408" t="str">
        <f t="shared" si="0"/>
        <v>dean watchorn</v>
      </c>
      <c r="D5" s="409" t="s">
        <v>16</v>
      </c>
      <c r="E5" s="410">
        <v>0.0011538425925925926</v>
      </c>
      <c r="F5" s="409"/>
      <c r="G5" s="409" t="s">
        <v>175</v>
      </c>
      <c r="H5" s="411">
        <f t="shared" si="5"/>
      </c>
      <c r="I5" s="411">
        <f t="shared" si="5"/>
      </c>
      <c r="J5" s="411">
        <f t="shared" si="5"/>
        <v>75</v>
      </c>
      <c r="K5" s="411">
        <f t="shared" si="5"/>
      </c>
      <c r="L5" s="411">
        <f t="shared" si="5"/>
      </c>
      <c r="M5" s="411">
        <f t="shared" si="5"/>
      </c>
      <c r="N5" s="411">
        <f t="shared" si="5"/>
      </c>
      <c r="O5" s="411">
        <f t="shared" si="5"/>
      </c>
      <c r="P5" s="411">
        <f t="shared" si="5"/>
      </c>
      <c r="Q5" s="411">
        <f t="shared" si="5"/>
      </c>
      <c r="R5" s="412">
        <f t="shared" si="5"/>
      </c>
      <c r="S5" s="355">
        <v>75</v>
      </c>
      <c r="T5" s="407">
        <f>AB5-S5</f>
        <v>0</v>
      </c>
      <c r="U5" s="413">
        <f t="shared" si="3"/>
        <v>97.475</v>
      </c>
      <c r="V5" s="414">
        <f aca="true" t="shared" si="6" ref="V5:V14">(($E5*86400)-U5)</f>
        <v>2.2169999999999987</v>
      </c>
      <c r="W5" s="415">
        <f aca="true" t="shared" si="7" ref="W5:W14">IF(V5&lt;=0,10,IF(V5&lt;1,5,IF(V5&lt;2,0,IF(V5&lt;3,-5,-10))))</f>
        <v>-5</v>
      </c>
      <c r="X5" s="470">
        <v>5</v>
      </c>
      <c r="Y5" s="198">
        <v>9</v>
      </c>
      <c r="Z5" s="198">
        <f>IF($Y5="n/a","",_xlfn.IFERROR(COUNTIF($Y$2:$Y5,"="&amp;Y5),""))</f>
        <v>2</v>
      </c>
      <c r="AA5" s="198">
        <f>COUNTIF($X$2:X4,"&lt;"&amp;X5)</f>
        <v>0</v>
      </c>
      <c r="AB5" s="208">
        <v>75</v>
      </c>
      <c r="AC5" s="214">
        <f t="shared" si="4"/>
        <v>70</v>
      </c>
      <c r="AE5" s="256" t="s">
        <v>50</v>
      </c>
      <c r="AF5" s="134" t="s">
        <v>74</v>
      </c>
      <c r="AG5" s="360">
        <v>0.001192476851851852</v>
      </c>
    </row>
    <row r="6" spans="1:33" ht="12.75">
      <c r="A6" s="112">
        <v>555</v>
      </c>
      <c r="B6" s="65" t="s">
        <v>73</v>
      </c>
      <c r="C6" s="65" t="str">
        <f t="shared" si="0"/>
        <v>tim meaden</v>
      </c>
      <c r="D6" s="69" t="s">
        <v>13</v>
      </c>
      <c r="E6" s="421">
        <v>0.0011796643518518519</v>
      </c>
      <c r="F6" s="69"/>
      <c r="G6" s="69" t="s">
        <v>86</v>
      </c>
      <c r="H6" s="71">
        <f t="shared" si="5"/>
      </c>
      <c r="I6" s="71">
        <f t="shared" si="5"/>
        <v>60</v>
      </c>
      <c r="J6" s="71">
        <f t="shared" si="5"/>
      </c>
      <c r="K6" s="71">
        <f t="shared" si="5"/>
      </c>
      <c r="L6" s="71">
        <f t="shared" si="5"/>
      </c>
      <c r="M6" s="71">
        <f t="shared" si="5"/>
      </c>
      <c r="N6" s="71">
        <f t="shared" si="5"/>
      </c>
      <c r="O6" s="71">
        <f t="shared" si="5"/>
      </c>
      <c r="P6" s="71">
        <f t="shared" si="5"/>
      </c>
      <c r="Q6" s="71">
        <f t="shared" si="5"/>
      </c>
      <c r="R6" s="269">
        <f t="shared" si="5"/>
      </c>
      <c r="S6" s="355">
        <v>60</v>
      </c>
      <c r="T6" s="112">
        <f t="shared" si="2"/>
        <v>-30</v>
      </c>
      <c r="U6" s="264">
        <f t="shared" si="3"/>
        <v>95.917</v>
      </c>
      <c r="V6" s="209">
        <f t="shared" si="6"/>
        <v>6.006</v>
      </c>
      <c r="W6" s="113">
        <f t="shared" si="7"/>
        <v>-10</v>
      </c>
      <c r="X6" s="470">
        <v>6</v>
      </c>
      <c r="Y6" s="198">
        <v>10</v>
      </c>
      <c r="Z6" s="198">
        <f>IF($Y6="n/a","",_xlfn.IFERROR(COUNTIF($Y$2:$Y6,"="&amp;Y6),""))</f>
        <v>3</v>
      </c>
      <c r="AA6" s="198">
        <f>COUNTIF($X$2:X5,"&lt;"&amp;X6)</f>
        <v>2</v>
      </c>
      <c r="AB6" s="208">
        <v>30</v>
      </c>
      <c r="AC6" s="214">
        <f t="shared" si="4"/>
        <v>20</v>
      </c>
      <c r="AE6" s="257" t="s">
        <v>22</v>
      </c>
      <c r="AF6" s="162" t="s">
        <v>169</v>
      </c>
      <c r="AG6" s="361">
        <v>0.0012158101851851852</v>
      </c>
    </row>
    <row r="7" spans="1:33" ht="12.75">
      <c r="A7" s="103">
        <v>88</v>
      </c>
      <c r="B7" s="422" t="s">
        <v>74</v>
      </c>
      <c r="C7" s="422" t="str">
        <f t="shared" si="0"/>
        <v>randy stagno navarra</v>
      </c>
      <c r="D7" s="355" t="s">
        <v>52</v>
      </c>
      <c r="E7" s="423">
        <v>0.0011817939814814814</v>
      </c>
      <c r="F7" s="355"/>
      <c r="G7" s="355" t="s">
        <v>168</v>
      </c>
      <c r="H7" s="424">
        <f t="shared" si="5"/>
      </c>
      <c r="I7" s="424">
        <f t="shared" si="5"/>
      </c>
      <c r="J7" s="424">
        <f t="shared" si="5"/>
      </c>
      <c r="K7" s="424">
        <f t="shared" si="5"/>
        <v>100</v>
      </c>
      <c r="L7" s="424">
        <f t="shared" si="5"/>
      </c>
      <c r="M7" s="424">
        <f t="shared" si="5"/>
      </c>
      <c r="N7" s="424">
        <f t="shared" si="5"/>
      </c>
      <c r="O7" s="424">
        <f t="shared" si="5"/>
      </c>
      <c r="P7" s="424">
        <f t="shared" si="5"/>
      </c>
      <c r="Q7" s="424">
        <f t="shared" si="5"/>
      </c>
      <c r="R7" s="425">
        <f t="shared" si="5"/>
      </c>
      <c r="S7" s="355">
        <v>100</v>
      </c>
      <c r="T7" s="103">
        <f t="shared" si="2"/>
        <v>0</v>
      </c>
      <c r="U7" s="426">
        <f t="shared" si="3"/>
        <v>100.768</v>
      </c>
      <c r="V7" s="427">
        <f t="shared" si="6"/>
        <v>1.3389999999999844</v>
      </c>
      <c r="W7" s="356">
        <f t="shared" si="7"/>
        <v>0</v>
      </c>
      <c r="X7" s="470">
        <v>4</v>
      </c>
      <c r="Y7" s="198">
        <v>8</v>
      </c>
      <c r="Z7" s="198">
        <f>IF($Y7="n/a","",_xlfn.IFERROR(COUNTIF($Y$2:$Y7,"="&amp;Y7),""))</f>
        <v>1</v>
      </c>
      <c r="AA7" s="198">
        <f>COUNTIF($X$2:X6,"&lt;"&amp;X7)</f>
        <v>0</v>
      </c>
      <c r="AB7" s="208">
        <v>100</v>
      </c>
      <c r="AC7" s="214">
        <f t="shared" si="4"/>
        <v>100</v>
      </c>
      <c r="AE7" s="258" t="s">
        <v>21</v>
      </c>
      <c r="AF7" s="44" t="s">
        <v>75</v>
      </c>
      <c r="AG7" s="457" t="s">
        <v>170</v>
      </c>
    </row>
    <row r="8" spans="1:33" ht="12.75">
      <c r="A8" s="103">
        <v>50</v>
      </c>
      <c r="B8" s="422" t="s">
        <v>72</v>
      </c>
      <c r="C8" s="422" t="str">
        <f t="shared" si="0"/>
        <v>alan conrad</v>
      </c>
      <c r="D8" s="355" t="s">
        <v>52</v>
      </c>
      <c r="E8" s="423">
        <v>0.0011877083333333334</v>
      </c>
      <c r="F8" s="355"/>
      <c r="G8" s="355" t="s">
        <v>86</v>
      </c>
      <c r="H8" s="424">
        <f t="shared" si="5"/>
      </c>
      <c r="I8" s="424">
        <f t="shared" si="5"/>
      </c>
      <c r="J8" s="424">
        <f t="shared" si="5"/>
      </c>
      <c r="K8" s="424">
        <f t="shared" si="5"/>
        <v>75</v>
      </c>
      <c r="L8" s="424">
        <f t="shared" si="5"/>
      </c>
      <c r="M8" s="424">
        <f t="shared" si="5"/>
      </c>
      <c r="N8" s="424">
        <f t="shared" si="5"/>
      </c>
      <c r="O8" s="424">
        <f t="shared" si="5"/>
      </c>
      <c r="P8" s="424">
        <f t="shared" si="5"/>
      </c>
      <c r="Q8" s="424">
        <f t="shared" si="5"/>
      </c>
      <c r="R8" s="425">
        <f t="shared" si="5"/>
      </c>
      <c r="S8" s="355">
        <v>75</v>
      </c>
      <c r="T8" s="103">
        <f>AB8-S8</f>
        <v>0</v>
      </c>
      <c r="U8" s="426">
        <f t="shared" si="3"/>
        <v>100.768</v>
      </c>
      <c r="V8" s="427">
        <f t="shared" si="6"/>
        <v>1.8500000000000085</v>
      </c>
      <c r="W8" s="356">
        <f t="shared" si="7"/>
        <v>0</v>
      </c>
      <c r="X8" s="470">
        <v>4</v>
      </c>
      <c r="Y8" s="198">
        <v>8</v>
      </c>
      <c r="Z8" s="198">
        <f>IF($Y8="n/a","",_xlfn.IFERROR(COUNTIF($Y$2:$Y8,"="&amp;Y8),""))</f>
        <v>2</v>
      </c>
      <c r="AA8" s="198">
        <f>COUNTIF($X$2:X7,"&lt;"&amp;X8)</f>
        <v>0</v>
      </c>
      <c r="AB8" s="208">
        <v>75</v>
      </c>
      <c r="AC8" s="214">
        <f>(S8+T8+W8)</f>
        <v>75</v>
      </c>
      <c r="AE8" s="259" t="s">
        <v>51</v>
      </c>
      <c r="AF8" s="362" t="s">
        <v>88</v>
      </c>
      <c r="AG8" s="458" t="s">
        <v>167</v>
      </c>
    </row>
    <row r="9" spans="1:33" ht="12.75">
      <c r="A9" s="416">
        <v>21</v>
      </c>
      <c r="B9" s="417" t="s">
        <v>88</v>
      </c>
      <c r="C9" s="417" t="str">
        <f t="shared" si="0"/>
        <v>gavin newman</v>
      </c>
      <c r="D9" s="418" t="s">
        <v>51</v>
      </c>
      <c r="E9" s="428">
        <v>0.0011904398148148147</v>
      </c>
      <c r="F9" s="362" t="s">
        <v>164</v>
      </c>
      <c r="G9" s="418" t="s">
        <v>171</v>
      </c>
      <c r="H9" s="419">
        <f t="shared" si="5"/>
      </c>
      <c r="I9" s="419">
        <f t="shared" si="5"/>
      </c>
      <c r="J9" s="419">
        <f t="shared" si="5"/>
      </c>
      <c r="K9" s="419">
        <f t="shared" si="5"/>
      </c>
      <c r="L9" s="419">
        <f t="shared" si="5"/>
        <v>100</v>
      </c>
      <c r="M9" s="419">
        <f t="shared" si="5"/>
      </c>
      <c r="N9" s="419">
        <f t="shared" si="5"/>
      </c>
      <c r="O9" s="419">
        <f t="shared" si="5"/>
      </c>
      <c r="P9" s="419">
        <f t="shared" si="5"/>
      </c>
      <c r="Q9" s="419">
        <f t="shared" si="5"/>
      </c>
      <c r="R9" s="420">
        <f t="shared" si="5"/>
      </c>
      <c r="S9" s="355">
        <v>100</v>
      </c>
      <c r="T9" s="416">
        <f>AB9-S9</f>
        <v>0</v>
      </c>
      <c r="U9" s="429">
        <f t="shared" si="3"/>
        <v>103.162</v>
      </c>
      <c r="V9" s="430">
        <f t="shared" si="6"/>
        <v>-0.30800000000000693</v>
      </c>
      <c r="W9" s="431">
        <f t="shared" si="7"/>
        <v>10</v>
      </c>
      <c r="X9" s="470">
        <v>4</v>
      </c>
      <c r="Y9" s="198">
        <v>7</v>
      </c>
      <c r="Z9" s="198">
        <f>IF($Y9="n/a","",_xlfn.IFERROR(COUNTIF($Y$2:$Y9,"="&amp;Y9),""))</f>
        <v>1</v>
      </c>
      <c r="AA9" s="198">
        <f>COUNTIF($X$2:X8,"&lt;"&amp;X9)</f>
        <v>0</v>
      </c>
      <c r="AB9" s="208">
        <v>100</v>
      </c>
      <c r="AC9" s="214">
        <f>(S9+T9+W9)</f>
        <v>110</v>
      </c>
      <c r="AE9" s="260" t="s">
        <v>52</v>
      </c>
      <c r="AF9" s="363" t="s">
        <v>72</v>
      </c>
      <c r="AG9" s="364">
        <v>0.0011662962962962964</v>
      </c>
    </row>
    <row r="10" spans="1:33" ht="12.75">
      <c r="A10" s="105">
        <v>62</v>
      </c>
      <c r="B10" s="35" t="s">
        <v>75</v>
      </c>
      <c r="C10" s="35" t="str">
        <f t="shared" si="0"/>
        <v>noel heritage</v>
      </c>
      <c r="D10" s="36" t="s">
        <v>21</v>
      </c>
      <c r="E10" s="432">
        <v>0.0012207407407407408</v>
      </c>
      <c r="F10" s="36"/>
      <c r="G10" s="36" t="s">
        <v>86</v>
      </c>
      <c r="H10" s="251">
        <f t="shared" si="5"/>
      </c>
      <c r="I10" s="251">
        <f t="shared" si="5"/>
      </c>
      <c r="J10" s="251">
        <f t="shared" si="5"/>
      </c>
      <c r="K10" s="251">
        <f t="shared" si="5"/>
      </c>
      <c r="L10" s="251">
        <f t="shared" si="5"/>
      </c>
      <c r="M10" s="251">
        <f t="shared" si="5"/>
        <v>100</v>
      </c>
      <c r="N10" s="251">
        <f t="shared" si="5"/>
      </c>
      <c r="O10" s="251">
        <f t="shared" si="5"/>
      </c>
      <c r="P10" s="251">
        <f t="shared" si="5"/>
      </c>
      <c r="Q10" s="251">
        <f t="shared" si="5"/>
      </c>
      <c r="R10" s="270">
        <f t="shared" si="5"/>
      </c>
      <c r="S10" s="355">
        <v>100</v>
      </c>
      <c r="T10" s="105">
        <f>AB10-S10</f>
        <v>0</v>
      </c>
      <c r="U10" s="216">
        <f t="shared" si="3"/>
        <v>104.61699999999999</v>
      </c>
      <c r="V10" s="210">
        <f t="shared" si="6"/>
        <v>0.8550000000000182</v>
      </c>
      <c r="W10" s="106">
        <f t="shared" si="7"/>
        <v>5</v>
      </c>
      <c r="X10" s="470">
        <v>2</v>
      </c>
      <c r="Y10" s="198">
        <v>4</v>
      </c>
      <c r="Z10" s="198">
        <f>IF($Y10="n/a","",_xlfn.IFERROR(COUNTIF($Y$2:$Y10,"="&amp;Y10),""))</f>
        <v>1</v>
      </c>
      <c r="AA10" s="198">
        <f>COUNTIF($X$2:X9,"&lt;"&amp;X10)</f>
        <v>0</v>
      </c>
      <c r="AB10" s="208">
        <v>100</v>
      </c>
      <c r="AC10" s="214">
        <f>(S10+T10+W10)</f>
        <v>105</v>
      </c>
      <c r="AE10" s="261" t="s">
        <v>16</v>
      </c>
      <c r="AF10" s="365" t="s">
        <v>106</v>
      </c>
      <c r="AG10" s="366">
        <v>0.0011281828703703703</v>
      </c>
    </row>
    <row r="11" spans="1:33" ht="12.75">
      <c r="A11" s="105">
        <v>141</v>
      </c>
      <c r="B11" s="35" t="s">
        <v>111</v>
      </c>
      <c r="C11" s="35" t="str">
        <f t="shared" si="0"/>
        <v>max lloyd</v>
      </c>
      <c r="D11" s="36" t="s">
        <v>21</v>
      </c>
      <c r="E11" s="432">
        <v>0.001227974537037037</v>
      </c>
      <c r="F11" s="36"/>
      <c r="G11" s="36" t="s">
        <v>166</v>
      </c>
      <c r="H11" s="251">
        <f t="shared" si="5"/>
      </c>
      <c r="I11" s="251">
        <f t="shared" si="5"/>
      </c>
      <c r="J11" s="251">
        <f t="shared" si="5"/>
      </c>
      <c r="K11" s="251">
        <f t="shared" si="5"/>
      </c>
      <c r="L11" s="251">
        <f t="shared" si="5"/>
      </c>
      <c r="M11" s="251">
        <f t="shared" si="5"/>
        <v>75</v>
      </c>
      <c r="N11" s="251">
        <f t="shared" si="5"/>
      </c>
      <c r="O11" s="251">
        <f t="shared" si="5"/>
      </c>
      <c r="P11" s="251">
        <f t="shared" si="5"/>
      </c>
      <c r="Q11" s="251">
        <f t="shared" si="5"/>
      </c>
      <c r="R11" s="270">
        <f t="shared" si="5"/>
      </c>
      <c r="S11" s="355">
        <v>75</v>
      </c>
      <c r="T11" s="105">
        <f>AB11-S11</f>
        <v>0</v>
      </c>
      <c r="U11" s="216">
        <f t="shared" si="3"/>
        <v>104.61699999999999</v>
      </c>
      <c r="V11" s="210">
        <f t="shared" si="6"/>
        <v>1.480000000000004</v>
      </c>
      <c r="W11" s="106">
        <f t="shared" si="7"/>
        <v>0</v>
      </c>
      <c r="X11" s="470">
        <v>2</v>
      </c>
      <c r="Y11" s="198">
        <v>4</v>
      </c>
      <c r="Z11" s="198">
        <f>IF($Y11="n/a","",_xlfn.IFERROR(COUNTIF($Y$2:$Y11,"="&amp;Y11),""))</f>
        <v>2</v>
      </c>
      <c r="AA11" s="198">
        <f>COUNTIF($X$2:X10,"&lt;"&amp;X11)</f>
        <v>0</v>
      </c>
      <c r="AB11" s="208">
        <v>75</v>
      </c>
      <c r="AC11" s="214">
        <f>(S11+T11+W11)</f>
        <v>75</v>
      </c>
      <c r="AE11" s="262" t="s">
        <v>13</v>
      </c>
      <c r="AF11" s="367" t="s">
        <v>82</v>
      </c>
      <c r="AG11" s="368">
        <v>0.001110150462962963</v>
      </c>
    </row>
    <row r="12" spans="1:33" ht="13.5" thickBot="1">
      <c r="A12" s="107">
        <v>9</v>
      </c>
      <c r="B12" s="47" t="s">
        <v>80</v>
      </c>
      <c r="C12" s="47" t="str">
        <f t="shared" si="0"/>
        <v>steve williamsz</v>
      </c>
      <c r="D12" s="48" t="s">
        <v>5</v>
      </c>
      <c r="E12" s="433">
        <v>0.0012377662037037036</v>
      </c>
      <c r="F12" s="48"/>
      <c r="G12" s="48" t="s">
        <v>178</v>
      </c>
      <c r="H12" s="252">
        <f t="shared" si="5"/>
      </c>
      <c r="I12" s="252">
        <f t="shared" si="5"/>
      </c>
      <c r="J12" s="252">
        <f t="shared" si="5"/>
      </c>
      <c r="K12" s="252">
        <f t="shared" si="5"/>
      </c>
      <c r="L12" s="252">
        <f t="shared" si="5"/>
      </c>
      <c r="M12" s="252">
        <f t="shared" si="5"/>
      </c>
      <c r="N12" s="252">
        <f t="shared" si="5"/>
      </c>
      <c r="O12" s="252">
        <f t="shared" si="5"/>
      </c>
      <c r="P12" s="252">
        <f t="shared" si="5"/>
      </c>
      <c r="Q12" s="252">
        <f t="shared" si="5"/>
        <v>100</v>
      </c>
      <c r="R12" s="272">
        <f t="shared" si="5"/>
      </c>
      <c r="S12" s="355">
        <v>100</v>
      </c>
      <c r="T12" s="107">
        <f>AB12-S12</f>
        <v>0</v>
      </c>
      <c r="U12" s="217">
        <f t="shared" si="3"/>
        <v>105.3</v>
      </c>
      <c r="V12" s="212">
        <f t="shared" si="6"/>
        <v>1.6430000000000007</v>
      </c>
      <c r="W12" s="108">
        <f t="shared" si="7"/>
        <v>0</v>
      </c>
      <c r="X12" s="470">
        <v>1</v>
      </c>
      <c r="Y12" s="198">
        <v>2</v>
      </c>
      <c r="Z12" s="198">
        <f>IF($Y12="n/a","",_xlfn.IFERROR(COUNTIF($Y$2:$Y12,"="&amp;Y12),""))</f>
        <v>1</v>
      </c>
      <c r="AA12" s="198">
        <f>COUNTIF($X$2:X11,"&lt;"&amp;X12)</f>
        <v>0</v>
      </c>
      <c r="AB12" s="208">
        <v>100</v>
      </c>
      <c r="AC12" s="214">
        <f>(S12+T12+W12)</f>
        <v>100</v>
      </c>
      <c r="AE12" s="263" t="s">
        <v>14</v>
      </c>
      <c r="AF12" s="459" t="s">
        <v>162</v>
      </c>
      <c r="AG12" s="460" t="s">
        <v>163</v>
      </c>
    </row>
    <row r="13" spans="1:29" ht="12.75">
      <c r="A13" s="283">
        <v>26</v>
      </c>
      <c r="B13" s="142" t="s">
        <v>76</v>
      </c>
      <c r="C13" s="142" t="str">
        <f t="shared" si="0"/>
        <v>robert downes</v>
      </c>
      <c r="D13" s="452" t="s">
        <v>4</v>
      </c>
      <c r="E13" s="453">
        <v>0.0012381481481481482</v>
      </c>
      <c r="F13" s="452"/>
      <c r="G13" s="452" t="s">
        <v>168</v>
      </c>
      <c r="H13" s="281">
        <f t="shared" si="5"/>
      </c>
      <c r="I13" s="281">
        <f t="shared" si="5"/>
      </c>
      <c r="J13" s="281">
        <f t="shared" si="5"/>
      </c>
      <c r="K13" s="281">
        <f t="shared" si="5"/>
      </c>
      <c r="L13" s="281">
        <f t="shared" si="5"/>
      </c>
      <c r="M13" s="281">
        <f t="shared" si="5"/>
      </c>
      <c r="N13" s="281">
        <f t="shared" si="5"/>
      </c>
      <c r="O13" s="281">
        <f t="shared" si="5"/>
      </c>
      <c r="P13" s="281">
        <f t="shared" si="5"/>
        <v>100</v>
      </c>
      <c r="Q13" s="281">
        <f t="shared" si="5"/>
      </c>
      <c r="R13" s="282">
        <f t="shared" si="5"/>
      </c>
      <c r="S13" s="355">
        <v>100</v>
      </c>
      <c r="T13" s="283">
        <f t="shared" si="2"/>
        <v>-55</v>
      </c>
      <c r="U13" s="284">
        <f t="shared" si="3"/>
        <v>103.668</v>
      </c>
      <c r="V13" s="285">
        <f t="shared" si="6"/>
        <v>3.3079999999999927</v>
      </c>
      <c r="W13" s="286">
        <f t="shared" si="7"/>
        <v>-10</v>
      </c>
      <c r="X13" s="470">
        <f>_xlfn.IFERROR(VLOOKUP(D13,Class,4,0),"n/a")</f>
        <v>3</v>
      </c>
      <c r="Y13" s="198">
        <f>_xlfn.IFERROR(VLOOKUP(D13,Class,3,0),"n/a")</f>
        <v>5</v>
      </c>
      <c r="Z13" s="198">
        <f>IF($Y13="n/a","",_xlfn.IFERROR(COUNTIF($Y$2:$Y13,"="&amp;Y13),""))</f>
        <v>1</v>
      </c>
      <c r="AA13" s="198">
        <f>COUNTIF($X$2:X12,"&lt;"&amp;X13)</f>
        <v>3</v>
      </c>
      <c r="AB13" s="208">
        <f>IF($Y13="n/a",0,_xlfn.IFERROR(VLOOKUP(Z13+AA13,Points,2,0),15))</f>
        <v>45</v>
      </c>
      <c r="AC13" s="214">
        <f t="shared" si="4"/>
        <v>35</v>
      </c>
    </row>
    <row r="14" spans="1:29" ht="12.75">
      <c r="A14" s="440">
        <v>33</v>
      </c>
      <c r="B14" s="135" t="s">
        <v>133</v>
      </c>
      <c r="C14" s="135" t="str">
        <f t="shared" si="0"/>
        <v>david adam</v>
      </c>
      <c r="D14" s="441" t="s">
        <v>50</v>
      </c>
      <c r="E14" s="442">
        <v>0.0012431712962962963</v>
      </c>
      <c r="F14" s="441"/>
      <c r="G14" s="441" t="s">
        <v>171</v>
      </c>
      <c r="H14" s="443">
        <f t="shared" si="5"/>
      </c>
      <c r="I14" s="443">
        <f t="shared" si="5"/>
      </c>
      <c r="J14" s="443">
        <f t="shared" si="5"/>
      </c>
      <c r="K14" s="443">
        <f t="shared" si="5"/>
      </c>
      <c r="L14" s="443">
        <f t="shared" si="5"/>
      </c>
      <c r="M14" s="443">
        <f t="shared" si="5"/>
      </c>
      <c r="N14" s="443">
        <f t="shared" si="5"/>
      </c>
      <c r="O14" s="443">
        <f t="shared" si="5"/>
        <v>100</v>
      </c>
      <c r="P14" s="443">
        <f t="shared" si="5"/>
      </c>
      <c r="Q14" s="443">
        <f t="shared" si="5"/>
      </c>
      <c r="R14" s="444">
        <f t="shared" si="5"/>
      </c>
      <c r="S14" s="355">
        <v>100</v>
      </c>
      <c r="T14" s="440">
        <f t="shared" si="2"/>
        <v>-55</v>
      </c>
      <c r="U14" s="445">
        <f t="shared" si="3"/>
        <v>103.03</v>
      </c>
      <c r="V14" s="446">
        <f t="shared" si="6"/>
        <v>4.3799999999999955</v>
      </c>
      <c r="W14" s="447">
        <f t="shared" si="7"/>
        <v>-10</v>
      </c>
      <c r="X14" s="470">
        <f>_xlfn.IFERROR(VLOOKUP(D14,Class,4,0),"n/a")</f>
        <v>3</v>
      </c>
      <c r="Y14" s="198">
        <f>_xlfn.IFERROR(VLOOKUP(D14,Class,3,0),"n/a")</f>
        <v>6</v>
      </c>
      <c r="Z14" s="198">
        <f>IF($Y14="n/a","",_xlfn.IFERROR(COUNTIF($Y$2:$Y14,"="&amp;Y14),""))</f>
        <v>1</v>
      </c>
      <c r="AA14" s="198">
        <f>COUNTIF($X$2:X13,"&lt;"&amp;X14)</f>
        <v>3</v>
      </c>
      <c r="AB14" s="208">
        <f>IF($Y14="n/a",0,_xlfn.IFERROR(VLOOKUP(Z14+AA14,Points,2,0),15))</f>
        <v>45</v>
      </c>
      <c r="AC14" s="214">
        <f t="shared" si="4"/>
        <v>35</v>
      </c>
    </row>
    <row r="15" spans="1:29" ht="12.75">
      <c r="A15" s="358">
        <v>14</v>
      </c>
      <c r="B15" s="403" t="s">
        <v>197</v>
      </c>
      <c r="C15" s="1" t="str">
        <f t="shared" si="0"/>
        <v>jarrah pitt</v>
      </c>
      <c r="D15" s="8" t="s">
        <v>26</v>
      </c>
      <c r="E15" s="369">
        <v>0.001267627314814815</v>
      </c>
      <c r="F15" s="8"/>
      <c r="G15" s="8" t="s">
        <v>171</v>
      </c>
      <c r="H15" s="250">
        <f t="shared" si="5"/>
      </c>
      <c r="I15" s="250">
        <f t="shared" si="5"/>
      </c>
      <c r="J15" s="250">
        <f t="shared" si="5"/>
      </c>
      <c r="K15" s="250">
        <f t="shared" si="5"/>
      </c>
      <c r="L15" s="250">
        <f t="shared" si="5"/>
      </c>
      <c r="M15" s="250">
        <f t="shared" si="5"/>
      </c>
      <c r="N15" s="250">
        <f t="shared" si="5"/>
      </c>
      <c r="O15" s="250">
        <f t="shared" si="5"/>
      </c>
      <c r="P15" s="250">
        <f t="shared" si="5"/>
      </c>
      <c r="Q15" s="250">
        <f t="shared" si="5"/>
      </c>
      <c r="R15" s="271">
        <f t="shared" si="5"/>
      </c>
      <c r="S15" s="355">
        <v>0</v>
      </c>
      <c r="T15" s="197">
        <f t="shared" si="2"/>
        <v>0</v>
      </c>
      <c r="U15" s="157">
        <f t="shared" si="3"/>
      </c>
      <c r="V15" s="211"/>
      <c r="W15" s="104"/>
      <c r="X15" s="470" t="str">
        <f>_xlfn.IFERROR(VLOOKUP(D15,Class,4,0),"n/a")</f>
        <v>n/a</v>
      </c>
      <c r="Y15" s="198" t="str">
        <f>_xlfn.IFERROR(VLOOKUP(D15,Class,3,0),"n/a")</f>
        <v>n/a</v>
      </c>
      <c r="Z15" s="198">
        <f>IF($Y15="n/a","",_xlfn.IFERROR(COUNTIF($Y$2:$Y15,"="&amp;Y15),""))</f>
      </c>
      <c r="AA15" s="198">
        <f>COUNTIF($X$2:X14,"&lt;"&amp;X15)</f>
        <v>0</v>
      </c>
      <c r="AB15" s="208">
        <f>IF($Y15="n/a",0,_xlfn.IFERROR(VLOOKUP(Z15+AA15,Points,2,0),15))</f>
        <v>0</v>
      </c>
      <c r="AC15" s="214">
        <f t="shared" si="4"/>
        <v>0</v>
      </c>
    </row>
    <row r="16" spans="1:29" ht="12.75">
      <c r="A16" s="107">
        <v>77</v>
      </c>
      <c r="B16" s="47" t="s">
        <v>78</v>
      </c>
      <c r="C16" s="47" t="str">
        <f t="shared" si="0"/>
        <v>simeon ouzas</v>
      </c>
      <c r="D16" s="48" t="s">
        <v>5</v>
      </c>
      <c r="E16" s="433">
        <v>0.0012683449074074075</v>
      </c>
      <c r="F16" s="48"/>
      <c r="G16" s="48" t="s">
        <v>168</v>
      </c>
      <c r="H16" s="252">
        <f t="shared" si="5"/>
      </c>
      <c r="I16" s="252">
        <f t="shared" si="5"/>
      </c>
      <c r="J16" s="252">
        <f t="shared" si="5"/>
      </c>
      <c r="K16" s="252">
        <f t="shared" si="5"/>
      </c>
      <c r="L16" s="252">
        <f t="shared" si="5"/>
      </c>
      <c r="M16" s="252">
        <f t="shared" si="5"/>
      </c>
      <c r="N16" s="252">
        <f t="shared" si="5"/>
      </c>
      <c r="O16" s="252">
        <f t="shared" si="5"/>
      </c>
      <c r="P16" s="252">
        <f t="shared" si="5"/>
      </c>
      <c r="Q16" s="252">
        <f t="shared" si="5"/>
        <v>75</v>
      </c>
      <c r="R16" s="272">
        <f t="shared" si="5"/>
      </c>
      <c r="S16" s="355">
        <v>75</v>
      </c>
      <c r="T16" s="107">
        <f t="shared" si="2"/>
        <v>0</v>
      </c>
      <c r="U16" s="217">
        <f t="shared" si="3"/>
        <v>105.3</v>
      </c>
      <c r="V16" s="212">
        <f>(($E16*86400)-U16)</f>
        <v>4.285000000000011</v>
      </c>
      <c r="W16" s="108">
        <f>IF(V16&lt;=0,10,IF(V16&lt;1,5,IF(V16&lt;2,0,IF(V16&lt;3,-5,-10))))</f>
        <v>-10</v>
      </c>
      <c r="X16" s="470">
        <f>_xlfn.IFERROR(VLOOKUP(D16,Class,4,0),"n/a")</f>
        <v>1</v>
      </c>
      <c r="Y16" s="198">
        <f>_xlfn.IFERROR(VLOOKUP(D16,Class,3,0),"n/a")</f>
        <v>2</v>
      </c>
      <c r="Z16" s="198">
        <f>IF($Y16="n/a","",_xlfn.IFERROR(COUNTIF($Y$2:$Y16,"="&amp;Y16),""))</f>
        <v>2</v>
      </c>
      <c r="AA16" s="198">
        <f>COUNTIF($X$2:X15,"&lt;"&amp;X16)</f>
        <v>0</v>
      </c>
      <c r="AB16" s="208">
        <f>IF($Y16="n/a",0,_xlfn.IFERROR(VLOOKUP(Z16+AA16,Points,2,0),15))</f>
        <v>75</v>
      </c>
      <c r="AC16" s="214">
        <f t="shared" si="4"/>
        <v>65</v>
      </c>
    </row>
    <row r="17" spans="1:29" ht="12.75">
      <c r="A17" s="358">
        <v>205</v>
      </c>
      <c r="B17" s="1" t="s">
        <v>173</v>
      </c>
      <c r="C17" s="1" t="str">
        <f t="shared" si="0"/>
        <v>john reid</v>
      </c>
      <c r="D17" s="8" t="s">
        <v>26</v>
      </c>
      <c r="E17" s="369">
        <v>0.0012883796296296296</v>
      </c>
      <c r="F17" s="8"/>
      <c r="G17" s="8" t="s">
        <v>166</v>
      </c>
      <c r="H17" s="250">
        <f t="shared" si="5"/>
      </c>
      <c r="I17" s="250">
        <f t="shared" si="5"/>
      </c>
      <c r="J17" s="250">
        <f t="shared" si="5"/>
      </c>
      <c r="K17" s="250">
        <f t="shared" si="5"/>
      </c>
      <c r="L17" s="250">
        <f t="shared" si="5"/>
      </c>
      <c r="M17" s="250">
        <f t="shared" si="5"/>
      </c>
      <c r="N17" s="250">
        <f t="shared" si="5"/>
      </c>
      <c r="O17" s="250">
        <f t="shared" si="5"/>
      </c>
      <c r="P17" s="250">
        <f t="shared" si="5"/>
      </c>
      <c r="Q17" s="250">
        <f t="shared" si="5"/>
      </c>
      <c r="R17" s="271">
        <f t="shared" si="5"/>
      </c>
      <c r="S17" s="355">
        <v>0</v>
      </c>
      <c r="T17" s="197">
        <f t="shared" si="2"/>
        <v>0</v>
      </c>
      <c r="U17" s="157">
        <f t="shared" si="3"/>
      </c>
      <c r="V17" s="211"/>
      <c r="W17" s="104"/>
      <c r="X17" s="470" t="str">
        <f>_xlfn.IFERROR(VLOOKUP(D17,Class,4,0),"n/a")</f>
        <v>n/a</v>
      </c>
      <c r="Y17" s="198" t="str">
        <f>_xlfn.IFERROR(VLOOKUP(D17,Class,3,0),"n/a")</f>
        <v>n/a</v>
      </c>
      <c r="Z17" s="198">
        <f>IF($Y17="n/a","",_xlfn.IFERROR(COUNTIF($Y$2:$Y17,"="&amp;Y17),""))</f>
      </c>
      <c r="AA17" s="198">
        <f>COUNTIF($X$2:X16,"&lt;"&amp;X17)</f>
        <v>0</v>
      </c>
      <c r="AB17" s="208">
        <f>IF($Y17="n/a",0,_xlfn.IFERROR(VLOOKUP(Z17+AA17,Points,2,0),15))</f>
        <v>0</v>
      </c>
      <c r="AC17" s="214">
        <f t="shared" si="4"/>
        <v>0</v>
      </c>
    </row>
    <row r="18" spans="1:29" ht="12.75">
      <c r="A18" s="107">
        <v>43</v>
      </c>
      <c r="B18" s="47" t="s">
        <v>79</v>
      </c>
      <c r="C18" s="47" t="str">
        <f t="shared" si="0"/>
        <v>john downes</v>
      </c>
      <c r="D18" s="48" t="s">
        <v>5</v>
      </c>
      <c r="E18" s="433">
        <v>0.0013022569444444444</v>
      </c>
      <c r="F18" s="48"/>
      <c r="G18" s="48" t="s">
        <v>171</v>
      </c>
      <c r="H18" s="252">
        <f t="shared" si="5"/>
      </c>
      <c r="I18" s="252">
        <f t="shared" si="5"/>
      </c>
      <c r="J18" s="252">
        <f t="shared" si="5"/>
      </c>
      <c r="K18" s="252">
        <f t="shared" si="5"/>
      </c>
      <c r="L18" s="252">
        <f t="shared" si="5"/>
      </c>
      <c r="M18" s="252">
        <f t="shared" si="5"/>
      </c>
      <c r="N18" s="252">
        <f t="shared" si="5"/>
      </c>
      <c r="O18" s="252">
        <f t="shared" si="5"/>
      </c>
      <c r="P18" s="252">
        <f t="shared" si="5"/>
      </c>
      <c r="Q18" s="252">
        <f t="shared" si="5"/>
        <v>60</v>
      </c>
      <c r="R18" s="272">
        <f t="shared" si="5"/>
      </c>
      <c r="S18" s="355">
        <v>60</v>
      </c>
      <c r="T18" s="107">
        <f t="shared" si="2"/>
        <v>0</v>
      </c>
      <c r="U18" s="217">
        <f t="shared" si="3"/>
        <v>105.3</v>
      </c>
      <c r="V18" s="212">
        <f>(($E18*86400)-U18)</f>
        <v>7.215000000000003</v>
      </c>
      <c r="W18" s="108">
        <f>IF(V18&lt;=0,10,IF(V18&lt;1,5,IF(V18&lt;2,0,IF(V18&lt;3,-5,-10))))</f>
        <v>-10</v>
      </c>
      <c r="X18" s="470">
        <f>_xlfn.IFERROR(VLOOKUP(D18,Class,4,0),"n/a")</f>
        <v>1</v>
      </c>
      <c r="Y18" s="198">
        <f>_xlfn.IFERROR(VLOOKUP(D18,Class,3,0),"n/a")</f>
        <v>2</v>
      </c>
      <c r="Z18" s="198">
        <f>IF($Y18="n/a","",_xlfn.IFERROR(COUNTIF($Y$2:$Y18,"="&amp;Y18),""))</f>
        <v>3</v>
      </c>
      <c r="AA18" s="198">
        <f>COUNTIF($X$2:X17,"&lt;"&amp;X18)</f>
        <v>0</v>
      </c>
      <c r="AB18" s="208">
        <f>IF($Y18="n/a",0,_xlfn.IFERROR(VLOOKUP(Z18+AA18,Points,2,0),15))</f>
        <v>60</v>
      </c>
      <c r="AC18" s="214">
        <f t="shared" si="4"/>
        <v>50</v>
      </c>
    </row>
    <row r="19" spans="1:29" ht="12.75">
      <c r="A19" s="107">
        <v>32</v>
      </c>
      <c r="B19" s="47" t="s">
        <v>112</v>
      </c>
      <c r="C19" s="47" t="str">
        <f t="shared" si="0"/>
        <v>matthew cavell</v>
      </c>
      <c r="D19" s="48" t="s">
        <v>5</v>
      </c>
      <c r="E19" s="433">
        <v>0.001305011574074074</v>
      </c>
      <c r="F19" s="48"/>
      <c r="G19" s="48" t="s">
        <v>171</v>
      </c>
      <c r="H19" s="252">
        <f t="shared" si="5"/>
      </c>
      <c r="I19" s="252">
        <f t="shared" si="5"/>
      </c>
      <c r="J19" s="252">
        <f t="shared" si="5"/>
      </c>
      <c r="K19" s="252">
        <f t="shared" si="5"/>
      </c>
      <c r="L19" s="252">
        <f t="shared" si="5"/>
      </c>
      <c r="M19" s="252">
        <f t="shared" si="5"/>
      </c>
      <c r="N19" s="252">
        <f t="shared" si="5"/>
      </c>
      <c r="O19" s="252">
        <f t="shared" si="5"/>
      </c>
      <c r="P19" s="252">
        <f t="shared" si="5"/>
      </c>
      <c r="Q19" s="252">
        <f t="shared" si="5"/>
        <v>45</v>
      </c>
      <c r="R19" s="272">
        <f t="shared" si="5"/>
      </c>
      <c r="S19" s="355">
        <v>45</v>
      </c>
      <c r="T19" s="107">
        <f t="shared" si="2"/>
        <v>0</v>
      </c>
      <c r="U19" s="217">
        <f t="shared" si="3"/>
        <v>105.3</v>
      </c>
      <c r="V19" s="212">
        <f>(($E19*86400)-U19)</f>
        <v>7.453000000000003</v>
      </c>
      <c r="W19" s="108">
        <f>IF(V19&lt;=0,10,IF(V19&lt;1,5,IF(V19&lt;2,0,IF(V19&lt;3,-5,-10))))</f>
        <v>-10</v>
      </c>
      <c r="X19" s="470">
        <f>_xlfn.IFERROR(VLOOKUP(D19,Class,4,0),"n/a")</f>
        <v>1</v>
      </c>
      <c r="Y19" s="198">
        <f>_xlfn.IFERROR(VLOOKUP(D19,Class,3,0),"n/a")</f>
        <v>2</v>
      </c>
      <c r="Z19" s="198">
        <f>IF($Y19="n/a","",_xlfn.IFERROR(COUNTIF($Y$2:$Y19,"="&amp;Y19),""))</f>
        <v>4</v>
      </c>
      <c r="AA19" s="198">
        <f>COUNTIF($X$2:X18,"&lt;"&amp;X19)</f>
        <v>0</v>
      </c>
      <c r="AB19" s="208">
        <f>IF($Y19="n/a",0,_xlfn.IFERROR(VLOOKUP(Z19+AA19,Points,2,0),15))</f>
        <v>45</v>
      </c>
      <c r="AC19" s="214">
        <f t="shared" si="4"/>
        <v>35</v>
      </c>
    </row>
    <row r="20" spans="1:29" ht="12.75">
      <c r="A20" s="283">
        <v>112</v>
      </c>
      <c r="B20" s="142" t="s">
        <v>174</v>
      </c>
      <c r="C20" s="142" t="str">
        <f t="shared" si="0"/>
        <v>ian vague</v>
      </c>
      <c r="D20" s="452" t="s">
        <v>4</v>
      </c>
      <c r="E20" s="453">
        <v>0.0013061921296296296</v>
      </c>
      <c r="F20" s="452"/>
      <c r="G20" s="452" t="s">
        <v>178</v>
      </c>
      <c r="H20" s="281">
        <f t="shared" si="5"/>
      </c>
      <c r="I20" s="281">
        <f t="shared" si="5"/>
      </c>
      <c r="J20" s="281">
        <f t="shared" si="5"/>
      </c>
      <c r="K20" s="281">
        <f t="shared" si="5"/>
      </c>
      <c r="L20" s="281">
        <f t="shared" si="5"/>
      </c>
      <c r="M20" s="281">
        <f t="shared" si="5"/>
      </c>
      <c r="N20" s="281">
        <f t="shared" si="5"/>
      </c>
      <c r="O20" s="281">
        <f t="shared" si="5"/>
      </c>
      <c r="P20" s="281">
        <f t="shared" si="5"/>
        <v>75</v>
      </c>
      <c r="Q20" s="281">
        <f t="shared" si="5"/>
      </c>
      <c r="R20" s="282">
        <f t="shared" si="5"/>
      </c>
      <c r="S20" s="355">
        <v>75</v>
      </c>
      <c r="T20" s="283">
        <f t="shared" si="2"/>
        <v>-60</v>
      </c>
      <c r="U20" s="284">
        <f t="shared" si="3"/>
        <v>103.668</v>
      </c>
      <c r="V20" s="285">
        <f>(($E20*86400)-U20)</f>
        <v>9.186999999999983</v>
      </c>
      <c r="W20" s="286">
        <f>IF(V20&lt;=0,10,IF(V20&lt;1,5,IF(V20&lt;2,0,IF(V20&lt;3,-5,-10))))</f>
        <v>-10</v>
      </c>
      <c r="X20" s="470">
        <f>_xlfn.IFERROR(VLOOKUP(D20,Class,4,0),"n/a")</f>
        <v>3</v>
      </c>
      <c r="Y20" s="198">
        <f>_xlfn.IFERROR(VLOOKUP(D20,Class,3,0),"n/a")</f>
        <v>5</v>
      </c>
      <c r="Z20" s="198">
        <f>IF($Y20="n/a","",_xlfn.IFERROR(COUNTIF($Y$2:$Y20,"="&amp;Y20),""))</f>
        <v>2</v>
      </c>
      <c r="AA20" s="198">
        <f>COUNTIF($X$2:X19,"&lt;"&amp;X20)</f>
        <v>6</v>
      </c>
      <c r="AB20" s="208">
        <f>IF($Y20="n/a",0,_xlfn.IFERROR(VLOOKUP(Z20+AA20,Points,2,0),15))</f>
        <v>15</v>
      </c>
      <c r="AC20" s="214">
        <f t="shared" si="4"/>
        <v>5</v>
      </c>
    </row>
    <row r="21" spans="1:29" ht="12.75">
      <c r="A21" s="358">
        <v>16</v>
      </c>
      <c r="B21" s="1" t="s">
        <v>179</v>
      </c>
      <c r="C21" s="1" t="str">
        <f t="shared" si="0"/>
        <v>isaac pittolo</v>
      </c>
      <c r="D21" s="8" t="s">
        <v>26</v>
      </c>
      <c r="E21" s="369">
        <v>0.001330462962962963</v>
      </c>
      <c r="F21" s="8"/>
      <c r="G21" s="8" t="s">
        <v>171</v>
      </c>
      <c r="H21" s="250">
        <f t="shared" si="5"/>
      </c>
      <c r="I21" s="250">
        <f t="shared" si="5"/>
      </c>
      <c r="J21" s="250">
        <f t="shared" si="5"/>
      </c>
      <c r="K21" s="250">
        <f t="shared" si="5"/>
      </c>
      <c r="L21" s="250">
        <f t="shared" si="5"/>
      </c>
      <c r="M21" s="250">
        <f t="shared" si="5"/>
      </c>
      <c r="N21" s="250">
        <f t="shared" si="5"/>
      </c>
      <c r="O21" s="250">
        <f t="shared" si="5"/>
      </c>
      <c r="P21" s="250">
        <f t="shared" si="5"/>
      </c>
      <c r="Q21" s="250">
        <f t="shared" si="5"/>
      </c>
      <c r="R21" s="271">
        <f t="shared" si="5"/>
      </c>
      <c r="S21" s="355">
        <v>0</v>
      </c>
      <c r="T21" s="197">
        <f t="shared" si="2"/>
        <v>0</v>
      </c>
      <c r="U21" s="157">
        <f t="shared" si="3"/>
      </c>
      <c r="V21" s="211"/>
      <c r="W21" s="104"/>
      <c r="X21" s="470" t="str">
        <f>_xlfn.IFERROR(VLOOKUP(D21,Class,4,0),"n/a")</f>
        <v>n/a</v>
      </c>
      <c r="Y21" s="198" t="str">
        <f>_xlfn.IFERROR(VLOOKUP(D21,Class,3,0),"n/a")</f>
        <v>n/a</v>
      </c>
      <c r="Z21" s="198">
        <f>IF($Y21="n/a","",_xlfn.IFERROR(COUNTIF($Y$2:$Y21,"="&amp;Y21),""))</f>
      </c>
      <c r="AA21" s="198">
        <f>COUNTIF($X$2:X20,"&lt;"&amp;X21)</f>
        <v>0</v>
      </c>
      <c r="AB21" s="208">
        <f>IF($Y21="n/a",0,_xlfn.IFERROR(VLOOKUP(Z21+AA21,Points,2,0),15))</f>
        <v>0</v>
      </c>
      <c r="AC21" s="214">
        <f t="shared" si="4"/>
        <v>0</v>
      </c>
    </row>
    <row r="22" spans="1:29" ht="12.75">
      <c r="A22" s="434">
        <v>4</v>
      </c>
      <c r="B22" s="435" t="s">
        <v>180</v>
      </c>
      <c r="C22" s="435" t="str">
        <f t="shared" si="0"/>
        <v>kutay dal</v>
      </c>
      <c r="D22" s="436" t="s">
        <v>3</v>
      </c>
      <c r="E22" s="437">
        <v>0.0013310763888888888</v>
      </c>
      <c r="F22" s="436"/>
      <c r="G22" s="436" t="s">
        <v>171</v>
      </c>
      <c r="H22" s="438">
        <f t="shared" si="5"/>
      </c>
      <c r="I22" s="438">
        <f t="shared" si="5"/>
      </c>
      <c r="J22" s="438">
        <f t="shared" si="5"/>
      </c>
      <c r="K22" s="438">
        <f t="shared" si="5"/>
      </c>
      <c r="L22" s="438">
        <f t="shared" si="5"/>
      </c>
      <c r="M22" s="438">
        <f t="shared" si="5"/>
      </c>
      <c r="N22" s="438">
        <f t="shared" si="5"/>
      </c>
      <c r="O22" s="438">
        <f t="shared" si="5"/>
      </c>
      <c r="P22" s="438">
        <f t="shared" si="5"/>
      </c>
      <c r="Q22" s="438">
        <f t="shared" si="5"/>
      </c>
      <c r="R22" s="439">
        <f t="shared" si="5"/>
        <v>100</v>
      </c>
      <c r="S22" s="355">
        <v>100</v>
      </c>
      <c r="T22" s="434">
        <f t="shared" si="2"/>
        <v>0</v>
      </c>
      <c r="U22" s="449">
        <f t="shared" si="3"/>
        <v>107.387</v>
      </c>
      <c r="V22" s="450">
        <f>(($E22*86400)-U22)</f>
        <v>7.617999999999995</v>
      </c>
      <c r="W22" s="451">
        <f>IF(V22&lt;=0,10,IF(V22&lt;1,5,IF(V22&lt;2,0,IF(V22&lt;3,-5,-10))))</f>
        <v>-10</v>
      </c>
      <c r="X22" s="470">
        <f>_xlfn.IFERROR(VLOOKUP(D22,Class,4,0),"n/a")</f>
        <v>1</v>
      </c>
      <c r="Y22" s="198">
        <f>_xlfn.IFERROR(VLOOKUP(D22,Class,3,0),"n/a")</f>
        <v>1</v>
      </c>
      <c r="Z22" s="198">
        <f>IF($Y22="n/a","",_xlfn.IFERROR(COUNTIF($Y$2:$Y22,"="&amp;Y22),""))</f>
        <v>1</v>
      </c>
      <c r="AA22" s="198">
        <f>COUNTIF($X$2:X21,"&lt;"&amp;X22)</f>
        <v>0</v>
      </c>
      <c r="AB22" s="208">
        <f>IF($Y22="n/a",0,_xlfn.IFERROR(VLOOKUP(Z22+AA22,Points,2,0),15))</f>
        <v>100</v>
      </c>
      <c r="AC22" s="214">
        <f t="shared" si="4"/>
        <v>90</v>
      </c>
    </row>
    <row r="23" spans="1:29" ht="12.75">
      <c r="A23" s="358">
        <v>29</v>
      </c>
      <c r="B23" s="1" t="s">
        <v>181</v>
      </c>
      <c r="C23" s="1" t="str">
        <f t="shared" si="0"/>
        <v>andrew potter</v>
      </c>
      <c r="D23" s="8" t="s">
        <v>26</v>
      </c>
      <c r="E23" s="369">
        <v>0.0013329629629629629</v>
      </c>
      <c r="F23" s="8"/>
      <c r="G23" s="8" t="s">
        <v>166</v>
      </c>
      <c r="H23" s="250">
        <f t="shared" si="5"/>
      </c>
      <c r="I23" s="250">
        <f t="shared" si="5"/>
      </c>
      <c r="J23" s="250">
        <f t="shared" si="5"/>
      </c>
      <c r="K23" s="250">
        <f t="shared" si="5"/>
      </c>
      <c r="L23" s="250">
        <f t="shared" si="5"/>
      </c>
      <c r="M23" s="250">
        <f t="shared" si="5"/>
      </c>
      <c r="N23" s="250">
        <f t="shared" si="5"/>
      </c>
      <c r="O23" s="250">
        <f t="shared" si="5"/>
      </c>
      <c r="P23" s="250">
        <f t="shared" si="5"/>
      </c>
      <c r="Q23" s="250">
        <f t="shared" si="5"/>
      </c>
      <c r="R23" s="271">
        <f t="shared" si="5"/>
      </c>
      <c r="S23" s="355">
        <v>0</v>
      </c>
      <c r="T23" s="197">
        <f t="shared" si="2"/>
        <v>0</v>
      </c>
      <c r="U23" s="157">
        <f t="shared" si="3"/>
      </c>
      <c r="V23" s="211"/>
      <c r="W23" s="104"/>
      <c r="X23" s="470" t="str">
        <f>_xlfn.IFERROR(VLOOKUP(D23,Class,4,0),"n/a")</f>
        <v>n/a</v>
      </c>
      <c r="Y23" s="198" t="str">
        <f>_xlfn.IFERROR(VLOOKUP(D23,Class,3,0),"n/a")</f>
        <v>n/a</v>
      </c>
      <c r="Z23" s="198">
        <f>IF($Y23="n/a","",_xlfn.IFERROR(COUNTIF($Y$2:$Y23,"="&amp;Y23),""))</f>
      </c>
      <c r="AA23" s="198">
        <f>COUNTIF($X$2:X22,"&lt;"&amp;X23)</f>
        <v>0</v>
      </c>
      <c r="AB23" s="208">
        <f>IF($Y23="n/a",0,_xlfn.IFERROR(VLOOKUP(Z23+AA23,Points,2,0),15))</f>
        <v>0</v>
      </c>
      <c r="AC23" s="214">
        <f t="shared" si="4"/>
        <v>0</v>
      </c>
    </row>
    <row r="24" spans="1:29" ht="13.5" thickBot="1">
      <c r="A24" s="373">
        <v>37</v>
      </c>
      <c r="B24" s="274" t="s">
        <v>182</v>
      </c>
      <c r="C24" s="274" t="str">
        <f t="shared" si="0"/>
        <v>lachlan stephens</v>
      </c>
      <c r="D24" s="371" t="s">
        <v>26</v>
      </c>
      <c r="E24" s="370">
        <v>0.001333263888888889</v>
      </c>
      <c r="F24" s="371"/>
      <c r="G24" s="371" t="s">
        <v>171</v>
      </c>
      <c r="H24" s="287">
        <f t="shared" si="5"/>
      </c>
      <c r="I24" s="287">
        <f t="shared" si="5"/>
      </c>
      <c r="J24" s="287">
        <f t="shared" si="5"/>
      </c>
      <c r="K24" s="287">
        <f t="shared" si="5"/>
      </c>
      <c r="L24" s="287">
        <f t="shared" si="5"/>
      </c>
      <c r="M24" s="287">
        <f t="shared" si="5"/>
      </c>
      <c r="N24" s="287">
        <f t="shared" si="5"/>
      </c>
      <c r="O24" s="287">
        <f t="shared" si="5"/>
      </c>
      <c r="P24" s="287">
        <f t="shared" si="5"/>
      </c>
      <c r="Q24" s="287">
        <f t="shared" si="5"/>
      </c>
      <c r="R24" s="288">
        <f t="shared" si="5"/>
      </c>
      <c r="S24" s="372">
        <v>0</v>
      </c>
      <c r="T24" s="203">
        <f t="shared" si="2"/>
        <v>0</v>
      </c>
      <c r="U24" s="164">
        <f t="shared" si="3"/>
      </c>
      <c r="V24" s="273"/>
      <c r="W24" s="178"/>
      <c r="X24" s="471" t="str">
        <f>_xlfn.IFERROR(VLOOKUP(D24,Class,4,0),"n/a")</f>
        <v>n/a</v>
      </c>
      <c r="Y24" s="472" t="str">
        <f>_xlfn.IFERROR(VLOOKUP(D24,Class,3,0),"n/a")</f>
        <v>n/a</v>
      </c>
      <c r="Z24" s="472">
        <f>IF($Y24="n/a","",_xlfn.IFERROR(COUNTIF($Y$2:$Y24,"="&amp;Y24),""))</f>
      </c>
      <c r="AA24" s="472">
        <f>COUNTIF($X$2:X23,"&lt;"&amp;X24)</f>
        <v>0</v>
      </c>
      <c r="AB24" s="473">
        <f>IF($Y24="n/a",0,_xlfn.IFERROR(VLOOKUP(Z24+AA24,Points,2,0),15))</f>
        <v>0</v>
      </c>
      <c r="AC24" s="215">
        <f t="shared" si="4"/>
        <v>0</v>
      </c>
    </row>
    <row r="25" spans="6:29" ht="13.5" thickBot="1">
      <c r="F25" s="177"/>
      <c r="G25" s="179" t="s">
        <v>27</v>
      </c>
      <c r="H25" s="180">
        <f aca="true" t="shared" si="8" ref="H25:S25">COUNT(H2:H24)</f>
        <v>0</v>
      </c>
      <c r="I25" s="180">
        <f t="shared" si="8"/>
        <v>3</v>
      </c>
      <c r="J25" s="180">
        <f t="shared" si="8"/>
        <v>2</v>
      </c>
      <c r="K25" s="180">
        <f t="shared" si="8"/>
        <v>2</v>
      </c>
      <c r="L25" s="180">
        <f t="shared" si="8"/>
        <v>1</v>
      </c>
      <c r="M25" s="180">
        <f t="shared" si="8"/>
        <v>2</v>
      </c>
      <c r="N25" s="180">
        <f t="shared" si="8"/>
        <v>0</v>
      </c>
      <c r="O25" s="180">
        <f t="shared" si="8"/>
        <v>1</v>
      </c>
      <c r="P25" s="180">
        <f t="shared" si="8"/>
        <v>2</v>
      </c>
      <c r="Q25" s="180">
        <f t="shared" si="8"/>
        <v>4</v>
      </c>
      <c r="R25" s="180">
        <f t="shared" si="8"/>
        <v>1</v>
      </c>
      <c r="S25" s="318">
        <f t="shared" si="8"/>
        <v>23</v>
      </c>
      <c r="T25" s="218"/>
      <c r="U25" s="218"/>
      <c r="V25" s="206"/>
      <c r="W25" s="218"/>
      <c r="X25" s="218"/>
      <c r="Y25" s="218"/>
      <c r="Z25" s="218"/>
      <c r="AA25" s="218"/>
      <c r="AB25" s="218"/>
      <c r="AC25" s="218"/>
    </row>
    <row r="26" spans="20:29" ht="12.75">
      <c r="T26" s="8"/>
      <c r="U26" s="1"/>
      <c r="V26" s="206"/>
      <c r="W26" s="1"/>
      <c r="X26" s="8"/>
      <c r="Y26" s="8"/>
      <c r="Z26" s="8"/>
      <c r="AA26" s="8"/>
      <c r="AB26" s="8"/>
      <c r="AC26" s="1"/>
    </row>
    <row r="27" spans="2:28" ht="12.75">
      <c r="B27" s="2"/>
      <c r="C27" s="2"/>
      <c r="D27" s="111"/>
      <c r="T27" s="111"/>
      <c r="X27" s="111"/>
      <c r="Y27" s="111"/>
      <c r="Z27" s="111"/>
      <c r="AA27" s="111"/>
      <c r="AB27" s="111"/>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A2" sqref="A2"/>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5">
      <c r="A2" s="33" t="s">
        <v>15</v>
      </c>
      <c r="B2" s="117" t="s">
        <v>35</v>
      </c>
    </row>
    <row r="3" spans="1:2" ht="15">
      <c r="A3" s="33" t="s">
        <v>15</v>
      </c>
      <c r="B3" s="117" t="s">
        <v>36</v>
      </c>
    </row>
    <row r="4" spans="1:13" ht="25.5" customHeight="1">
      <c r="A4" s="33" t="s">
        <v>15</v>
      </c>
      <c r="B4" s="480" t="s">
        <v>104</v>
      </c>
      <c r="C4" s="480"/>
      <c r="D4" s="480"/>
      <c r="E4" s="480"/>
      <c r="F4" s="480"/>
      <c r="G4" s="480"/>
      <c r="H4" s="480"/>
      <c r="I4" s="480"/>
      <c r="J4" s="480"/>
      <c r="K4" s="480"/>
      <c r="L4" s="480"/>
      <c r="M4" s="480"/>
    </row>
    <row r="6" ht="13.5" thickBot="1">
      <c r="A6" s="30" t="s">
        <v>99</v>
      </c>
    </row>
    <row r="7" spans="1:5" ht="13.5" thickBot="1">
      <c r="A7" s="224" t="s">
        <v>2</v>
      </c>
      <c r="B7" s="221" t="s">
        <v>92</v>
      </c>
      <c r="C7" s="225" t="s">
        <v>91</v>
      </c>
      <c r="D7" s="223" t="s">
        <v>93</v>
      </c>
      <c r="E7" s="222"/>
    </row>
    <row r="8" spans="1:5" ht="12.75">
      <c r="A8" s="228" t="s">
        <v>3</v>
      </c>
      <c r="B8" s="227" t="s">
        <v>100</v>
      </c>
      <c r="C8" s="226">
        <v>1</v>
      </c>
      <c r="D8" s="229">
        <v>1</v>
      </c>
      <c r="E8" s="481" t="s">
        <v>90</v>
      </c>
    </row>
    <row r="9" spans="1:5" ht="13.5" thickBot="1">
      <c r="A9" s="232" t="s">
        <v>5</v>
      </c>
      <c r="B9" s="231" t="s">
        <v>101</v>
      </c>
      <c r="C9" s="230">
        <v>2</v>
      </c>
      <c r="D9" s="233">
        <v>1</v>
      </c>
      <c r="E9" s="482"/>
    </row>
    <row r="10" spans="1:5" ht="12.75">
      <c r="A10" s="228" t="s">
        <v>22</v>
      </c>
      <c r="B10" s="227" t="s">
        <v>102</v>
      </c>
      <c r="C10" s="226">
        <v>3</v>
      </c>
      <c r="D10" s="229">
        <v>2</v>
      </c>
      <c r="E10" s="481" t="s">
        <v>90</v>
      </c>
    </row>
    <row r="11" spans="1:5" ht="13.5" thickBot="1">
      <c r="A11" s="232" t="s">
        <v>21</v>
      </c>
      <c r="B11" s="231" t="s">
        <v>19</v>
      </c>
      <c r="C11" s="230">
        <v>4</v>
      </c>
      <c r="D11" s="233">
        <v>2</v>
      </c>
      <c r="E11" s="482"/>
    </row>
    <row r="12" spans="1:5" ht="12.75">
      <c r="A12" s="228" t="s">
        <v>4</v>
      </c>
      <c r="B12" s="234" t="s">
        <v>9</v>
      </c>
      <c r="C12" s="226">
        <v>5</v>
      </c>
      <c r="D12" s="229">
        <v>3</v>
      </c>
      <c r="E12" s="481" t="s">
        <v>90</v>
      </c>
    </row>
    <row r="13" spans="1:5" ht="13.5" thickBot="1">
      <c r="A13" s="232" t="s">
        <v>50</v>
      </c>
      <c r="B13" s="235" t="s">
        <v>20</v>
      </c>
      <c r="C13" s="230">
        <v>6</v>
      </c>
      <c r="D13" s="233">
        <v>3</v>
      </c>
      <c r="E13" s="482"/>
    </row>
    <row r="14" spans="1:5" ht="12.75" customHeight="1">
      <c r="A14" s="228" t="s">
        <v>51</v>
      </c>
      <c r="B14" s="234" t="s">
        <v>48</v>
      </c>
      <c r="C14" s="226">
        <v>7</v>
      </c>
      <c r="D14" s="229">
        <v>4</v>
      </c>
      <c r="E14" s="481" t="s">
        <v>90</v>
      </c>
    </row>
    <row r="15" spans="1:5" ht="12.75" customHeight="1" thickBot="1">
      <c r="A15" s="232" t="s">
        <v>52</v>
      </c>
      <c r="B15" s="235" t="s">
        <v>49</v>
      </c>
      <c r="C15" s="230">
        <v>8</v>
      </c>
      <c r="D15" s="233">
        <v>4</v>
      </c>
      <c r="E15" s="482"/>
    </row>
    <row r="16" spans="1:5" ht="13.5" thickBot="1">
      <c r="A16" s="238" t="s">
        <v>16</v>
      </c>
      <c r="B16" s="237" t="s">
        <v>17</v>
      </c>
      <c r="C16" s="236">
        <v>9</v>
      </c>
      <c r="D16" s="239">
        <v>5</v>
      </c>
      <c r="E16" s="240"/>
    </row>
    <row r="17" spans="1:5" ht="13.5" thickBot="1">
      <c r="A17" s="232" t="s">
        <v>13</v>
      </c>
      <c r="B17" s="241" t="s">
        <v>11</v>
      </c>
      <c r="C17" s="230">
        <v>10</v>
      </c>
      <c r="D17" s="233">
        <v>6</v>
      </c>
      <c r="E17" s="242"/>
    </row>
    <row r="18" spans="1:5" ht="13.5" thickBot="1">
      <c r="A18" s="238" t="s">
        <v>14</v>
      </c>
      <c r="B18" s="237" t="s">
        <v>10</v>
      </c>
      <c r="C18" s="236">
        <v>11</v>
      </c>
      <c r="D18" s="239">
        <v>7</v>
      </c>
      <c r="E18" s="240"/>
    </row>
    <row r="19" spans="1:2" ht="12.75">
      <c r="A19" s="34"/>
      <c r="B19" s="32"/>
    </row>
    <row r="20" spans="1:2" ht="12.75">
      <c r="A20" s="220" t="s">
        <v>103</v>
      </c>
      <c r="B20" s="32"/>
    </row>
    <row r="21" spans="1:2" ht="12.75">
      <c r="A21" s="248" t="s">
        <v>0</v>
      </c>
      <c r="B21" s="174" t="s">
        <v>96</v>
      </c>
    </row>
    <row r="22" spans="1:2" ht="12.75">
      <c r="A22" s="201">
        <v>1</v>
      </c>
      <c r="B22" s="200">
        <v>100</v>
      </c>
    </row>
    <row r="23" spans="1:2" ht="12.75">
      <c r="A23" s="201">
        <v>2</v>
      </c>
      <c r="B23" s="200">
        <v>75</v>
      </c>
    </row>
    <row r="24" spans="1:2" ht="12.75">
      <c r="A24" s="201">
        <v>3</v>
      </c>
      <c r="B24" s="200">
        <v>60</v>
      </c>
    </row>
    <row r="25" spans="1:2" ht="12.75">
      <c r="A25" s="201">
        <v>4</v>
      </c>
      <c r="B25" s="200">
        <v>45</v>
      </c>
    </row>
    <row r="26" spans="1:2" ht="12.75">
      <c r="A26" s="201">
        <v>5</v>
      </c>
      <c r="B26" s="202">
        <v>30</v>
      </c>
    </row>
    <row r="27" spans="1:2" ht="12.75">
      <c r="A27" s="201">
        <v>6</v>
      </c>
      <c r="B27" s="202">
        <v>15</v>
      </c>
    </row>
    <row r="28" spans="1:2" ht="12.75">
      <c r="A28" s="201">
        <v>7</v>
      </c>
      <c r="B28" s="202">
        <v>15</v>
      </c>
    </row>
    <row r="29" spans="1:2" ht="12.75">
      <c r="A29" s="201">
        <v>8</v>
      </c>
      <c r="B29" s="202">
        <v>15</v>
      </c>
    </row>
    <row r="30" spans="1:2" ht="12.75">
      <c r="A30" s="201">
        <v>9</v>
      </c>
      <c r="B30" s="200">
        <v>15</v>
      </c>
    </row>
    <row r="31" spans="1:2" ht="12.75">
      <c r="A31" s="201">
        <v>10</v>
      </c>
      <c r="B31" s="200">
        <v>15</v>
      </c>
    </row>
    <row r="32" spans="1:2" ht="12.75">
      <c r="A32" s="199"/>
      <c r="B32" s="200"/>
    </row>
    <row r="34" spans="1:2" ht="15.75" thickBot="1">
      <c r="A34" s="121" t="s">
        <v>37</v>
      </c>
      <c r="B34" s="119"/>
    </row>
    <row r="35" spans="1:2" ht="15.75" thickBot="1">
      <c r="A35" s="245" t="s">
        <v>43</v>
      </c>
      <c r="B35" s="243" t="s">
        <v>38</v>
      </c>
    </row>
    <row r="36" spans="1:2" ht="15.75" thickBot="1">
      <c r="A36" s="246" t="s">
        <v>44</v>
      </c>
      <c r="B36" s="244" t="s">
        <v>39</v>
      </c>
    </row>
    <row r="37" spans="1:2" ht="15.75" thickBot="1">
      <c r="A37" s="246" t="s">
        <v>45</v>
      </c>
      <c r="B37" s="244" t="s">
        <v>40</v>
      </c>
    </row>
    <row r="38" spans="1:2" ht="15.75" thickBot="1">
      <c r="A38" s="246" t="s">
        <v>46</v>
      </c>
      <c r="B38" s="244" t="s">
        <v>41</v>
      </c>
    </row>
    <row r="39" spans="1:2" ht="30.75" thickBot="1">
      <c r="A39" s="247" t="s">
        <v>47</v>
      </c>
      <c r="B39" s="244" t="s">
        <v>42</v>
      </c>
    </row>
    <row r="40" spans="1:2" ht="12.75">
      <c r="A40" s="120"/>
      <c r="B40" s="118"/>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
  <cp:keywords/>
  <dc:description/>
  <cp:lastModifiedBy>pc</cp:lastModifiedBy>
  <cp:lastPrinted>2009-03-11T10:33:29Z</cp:lastPrinted>
  <dcterms:created xsi:type="dcterms:W3CDTF">2008-07-07T11:31:18Z</dcterms:created>
  <dcterms:modified xsi:type="dcterms:W3CDTF">2018-03-29T23:29:25Z</dcterms:modified>
  <cp:category/>
  <cp:version/>
  <cp:contentType/>
  <cp:contentStatus/>
</cp:coreProperties>
</file>