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7650" tabRatio="757" activeTab="0"/>
  </bookViews>
  <sheets>
    <sheet name="Championship Points" sheetId="1" r:id="rId1"/>
    <sheet name="Rd1 PI" sheetId="2" r:id="rId2"/>
    <sheet name="Rd2 Winton" sheetId="3" r:id="rId3"/>
    <sheet name="Rd3 Winton IC" sheetId="4" r:id="rId4"/>
    <sheet name="Rd4 Sandown" sheetId="5" r:id="rId5"/>
    <sheet name="Rd5 Winton" sheetId="6" r:id="rId6"/>
    <sheet name="Championship Scoring" sheetId="7" r:id="rId7"/>
  </sheets>
  <externalReferences>
    <externalReference r:id="rId10"/>
    <externalReference r:id="rId11"/>
    <externalReference r:id="rId12"/>
  </externalReferences>
  <definedNames>
    <definedName name="_xlfn.IFERROR" hidden="1">#NAME?</definedName>
    <definedName name="Benchmarks" localSheetId="1">'Rd1 PI'!$AE$1:$AG$21</definedName>
    <definedName name="Benchmarks" localSheetId="4">'Rd4 Sandown'!$AE$2:$AG$12</definedName>
    <definedName name="Benchmarks" localSheetId="5">'Rd5 Winton'!$AE$2:$AG$12</definedName>
    <definedName name="Benchmarks">'Rd2 Winton'!$AE$2:$AG$12</definedName>
    <definedName name="Benchmarks2">'[3]Rd1 Broadford'!$AE$2:$AG$12</definedName>
    <definedName name="BenchmarksRd1" localSheetId="2">'[1]Rd1 Broadford'!$AE$2:$AG$12</definedName>
    <definedName name="BenchmarksRd1" localSheetId="3">'[2]Rd1 Broadford'!$AE$2:$AG$12</definedName>
    <definedName name="BenchmarksRd1" localSheetId="4">'[1]Rd1 Broadford'!$AE$2:$AG$12</definedName>
    <definedName name="BenchmarksRd1" localSheetId="5">'[1]Rd1 Broadford'!$AE$2:$AG$12</definedName>
    <definedName name="BenchmarksRd1">'Rd1 PI'!$AE$2:$AG$12</definedName>
    <definedName name="BenchmarksRd2" localSheetId="3">'Rd3 Winton IC'!$AE$2:$AH$12</definedName>
    <definedName name="BenchmarksRd2" localSheetId="4">'Rd4 Sandown'!$AE$2:$AG$12</definedName>
    <definedName name="BenchmarksRd2" localSheetId="5">'Rd5 Winton'!$AE$2:$AG$12</definedName>
    <definedName name="BenchmarksRd2">'Rd2 Winton'!$AE$2:$AG$12</definedName>
    <definedName name="BenchmarksRd3" localSheetId="2">'Rd2 Winton'!$AE$2:$AG$12</definedName>
    <definedName name="BenchmarksRd3" localSheetId="3">'Rd3 Winton IC'!$AE$2:$AH$12</definedName>
    <definedName name="BenchmarksRd3" localSheetId="4">'Rd4 Sandown'!$AE$2:$AG$12</definedName>
    <definedName name="BenchmarksRd3" localSheetId="5">'Rd5 Winton'!$AE$2:$AG$12</definedName>
    <definedName name="BenchmarksRd3">#REF!</definedName>
    <definedName name="BenchmarksRd4" localSheetId="1">'Rd1 PI'!$AE$2:$AG$21</definedName>
    <definedName name="BenchmarksRd4" localSheetId="2">'[1]Rd4 Sandown'!$AE$2:$AG$12</definedName>
    <definedName name="BenchmarksRd4" localSheetId="3">'[2]Rd4 Sandown'!$AE$2:$AG$12</definedName>
    <definedName name="BenchmarksRd4" localSheetId="4">'Rd4 Sandown'!$AE$2:$AG$12</definedName>
    <definedName name="BenchmarksRd4" localSheetId="5">'Rd5 Winton'!$AE$2:$AG$12</definedName>
    <definedName name="BenchmarksRd4">#REF!</definedName>
    <definedName name="BenchmarksRd5" localSheetId="1">'Rd1 PI'!$AE$2:$AG$21</definedName>
    <definedName name="BenchmarksRd5" localSheetId="2">'[1]Rd5 Sandown'!$AE$2:$AG$12</definedName>
    <definedName name="BenchmarksRd5" localSheetId="3">'[2]Rd5 Sandown'!$AE$2:$AG$12</definedName>
    <definedName name="BenchmarksRd5" localSheetId="4">'[1]Rd5 Sandown'!$AE$2:$AG$12</definedName>
    <definedName name="BenchmarksRd5" localSheetId="5">'[1]Rd5 Sandown'!$AE$2:$AG$12</definedName>
    <definedName name="BenchmarksRd5">#REF!</definedName>
    <definedName name="BenchmarksRd6" localSheetId="1">'Rd1 PI'!$AE$2:$AG$12</definedName>
    <definedName name="BenchmarksRd6" localSheetId="2">'[1]Rd6 PI'!$AE$2:$AG$12</definedName>
    <definedName name="BenchmarksRd6" localSheetId="3">'[3]Rd6 PI'!$AE$2:$AG$12</definedName>
    <definedName name="BenchmarksRd6" localSheetId="4">'[1]Rd6 PI'!$AE$2:$AG$12</definedName>
    <definedName name="BenchmarksRd6" localSheetId="5">'[1]Rd6 PI'!$AE$2:$AG$12</definedName>
    <definedName name="BenchmarksRd6">#REF!</definedName>
    <definedName name="BenchmarksRd9" localSheetId="2">'[1]Rd9 SMSP'!$AE$2:$AG$12</definedName>
    <definedName name="BenchmarksRd9" localSheetId="3">'[3]Rd9 SMSP'!$AE$2:$AG$12</definedName>
    <definedName name="BenchmarksRd9" localSheetId="4">'[1]Rd9 SMSP'!$AE$2:$AG$12</definedName>
    <definedName name="BenchmarksRd9" localSheetId="5">'[1]Rd9 SMSP'!$AE$2:$AG$12</definedName>
    <definedName name="BenchmarksRd9">#REF!</definedName>
    <definedName name="Class" localSheetId="2">'[1]Championship Scoring'!$A$7:$D$18</definedName>
    <definedName name="Class" localSheetId="3">'[2]Championship Scoring'!$A$7:$D$18</definedName>
    <definedName name="Class" localSheetId="4">'[1]Championship Scoring'!$A$7:$D$18</definedName>
    <definedName name="Class" localSheetId="5">'[1]Championship Scoring'!$A$7:$D$18</definedName>
    <definedName name="Class">'Championship Scoring'!$A$7:$D$18</definedName>
    <definedName name="Class2018">'Championship Scoring'!$A$7:$D$18</definedName>
    <definedName name="Points" localSheetId="2">'[1]Championship Scoring'!$A$21:$B$31</definedName>
    <definedName name="Points" localSheetId="3">'[2]Championship Scoring'!$A$21:$B$31</definedName>
    <definedName name="Points" localSheetId="4">'[1]Championship Scoring'!$A$21:$B$31</definedName>
    <definedName name="Points" localSheetId="5">'[1]Championship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<sst xmlns="http://schemas.openxmlformats.org/spreadsheetml/2006/main" count="1097" uniqueCount="453">
  <si>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</si>
  <si>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</si>
  <si>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</si>
  <si>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</si>
  <si>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</si>
  <si>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</si>
  <si>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</si>
  <si>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</si>
  <si>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</si>
  <si>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</si>
  <si>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</si>
  <si>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</si>
  <si>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</si>
  <si>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</si>
  <si>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</si>
  <si>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</si>
  <si>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</si>
  <si>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</si>
  <si>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</si>
  <si>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</si>
  <si>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</si>
  <si>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</si>
  <si>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</si>
  <si>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</si>
  <si>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</si>
  <si>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</si>
  <si>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</si>
  <si>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</si>
  <si>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</si>
  <si>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</si>
  <si>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</si>
  <si>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</si>
  <si>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</si>
  <si>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</si>
  <si>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</si>
  <si>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</si>
  <si>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</si>
  <si>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</si>
  <si>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</si>
  <si>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</si>
  <si>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</si>
  <si>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</si>
  <si>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</si>
  <si>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</si>
  <si>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</si>
  <si>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</si>
  <si>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</si>
  <si>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</si>
  <si>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</si>
  <si>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</si>
  <si>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</si>
  <si>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</si>
  <si>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</si>
  <si>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</si>
  <si>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</si>
  <si>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</si>
  <si>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</si>
  <si>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</si>
  <si>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</si>
  <si>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</si>
  <si>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</si>
  <si>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</si>
  <si>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</si>
  <si>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</si>
  <si>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</si>
  <si>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</si>
  <si>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</si>
  <si>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</si>
  <si>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</si>
  <si>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</si>
  <si>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</si>
  <si>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</si>
  <si>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</si>
  <si>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</si>
  <si>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</si>
  <si>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</si>
  <si>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</si>
  <si>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</si>
  <si>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</si>
  <si>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</si>
  <si>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</si>
  <si>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</si>
  <si>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</si>
  <si>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</si>
  <si>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</si>
  <si>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</si>
  <si>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</si>
  <si>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</si>
  <si>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</si>
  <si>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</si>
  <si>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</si>
  <si>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</si>
  <si>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</si>
  <si>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</si>
  <si>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</si>
  <si>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</si>
  <si>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</si>
  <si>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</si>
  <si>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</si>
  <si>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</si>
  <si>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</si>
  <si>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</si>
  <si>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</si>
  <si>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</si>
  <si>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</si>
  <si>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</si>
  <si>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</si>
  <si>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</si>
  <si>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</si>
  <si>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</si>
  <si>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</si>
  <si>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</si>
  <si>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</si>
  <si>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</si>
  <si>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</si>
  <si>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</si>
  <si>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</si>
  <si>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</si>
  <si>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</si>
  <si>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</si>
  <si>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</si>
  <si>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</si>
  <si>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</si>
  <si>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</si>
  <si>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</si>
  <si>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</si>
  <si>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</si>
  <si>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</si>
  <si>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</si>
  <si>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</si>
  <si>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</si>
  <si>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</si>
  <si>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</si>
  <si>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</si>
  <si>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</si>
  <si>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</si>
  <si>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</si>
  <si>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</si>
  <si>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</si>
  <si>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</si>
  <si>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</si>
  <si>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</si>
  <si>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</si>
  <si>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</si>
  <si>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</si>
  <si>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</si>
  <si>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</si>
  <si>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</si>
  <si>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</si>
  <si>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</si>
  <si>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</si>
  <si>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</si>
  <si>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</si>
  <si>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</si>
  <si>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</si>
  <si>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</si>
  <si>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</si>
  <si>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</si>
  <si>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</si>
  <si>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</si>
  <si>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</si>
  <si>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</si>
  <si>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</si>
  <si>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</si>
  <si>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</si>
  <si>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</si>
  <si>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</si>
  <si>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</si>
  <si>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</si>
  <si>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</si>
  <si>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</si>
  <si>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</si>
  <si>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</si>
  <si>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</si>
  <si>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</si>
  <si>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</si>
  <si>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</si>
  <si>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</si>
  <si>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</si>
  <si>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</si>
  <si>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</si>
  <si>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</si>
  <si>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</si>
  <si>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</si>
  <si>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</si>
  <si>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</si>
  <si>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</si>
  <si>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</si>
  <si>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</si>
  <si>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</si>
  <si>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</si>
  <si>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</si>
  <si>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</si>
  <si>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</si>
  <si>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</si>
  <si>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</si>
  <si>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</si>
  <si>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</si>
  <si>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</si>
  <si>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</si>
  <si>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</si>
  <si>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</si>
  <si>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</si>
  <si>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</si>
  <si>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</si>
  <si>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</si>
  <si>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</si>
  <si>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</si>
  <si>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</si>
  <si>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</si>
  <si>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</si>
  <si>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</si>
  <si>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</si>
  <si>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</si>
  <si>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</si>
  <si>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</si>
  <si>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</si>
  <si>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</si>
  <si>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</si>
  <si>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</si>
  <si>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</si>
  <si>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</si>
  <si>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</si>
  <si>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</si>
  <si>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</si>
  <si>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</si>
  <si>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</si>
  <si>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</si>
  <si>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</si>
  <si>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</si>
  <si>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</si>
  <si>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</si>
  <si>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</si>
  <si>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</si>
  <si>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</si>
  <si>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</si>
  <si>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</si>
  <si>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</si>
  <si>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</si>
  <si>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</si>
  <si>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</si>
  <si>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</si>
  <si>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</si>
  <si>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</si>
  <si>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</si>
  <si>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</si>
  <si>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</si>
  <si>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</si>
  <si>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</si>
  <si>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</si>
  <si>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</si>
  <si>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</si>
  <si>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</si>
  <si>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</si>
  <si>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</si>
  <si>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</si>
  <si>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</si>
  <si>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</si>
  <si>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</si>
  <si>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</si>
  <si>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</si>
  <si>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</si>
  <si>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</si>
  <si>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</si>
  <si>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</si>
  <si>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</si>
  <si>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</si>
  <si>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</si>
  <si>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</si>
  <si>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</si>
  <si>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</si>
  <si>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</si>
  <si>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</si>
  <si>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</si>
  <si>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</si>
  <si>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</si>
  <si>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</si>
  <si>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</si>
  <si>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</si>
  <si>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</si>
  <si>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</si>
  <si>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</si>
  <si>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</si>
  <si>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</si>
  <si>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</si>
  <si>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</si>
  <si>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</si>
  <si>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</si>
  <si>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</si>
  <si>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</si>
  <si>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</si>
  <si>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</si>
  <si>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</si>
  <si>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</si>
  <si>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</si>
  <si>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</si>
  <si>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</si>
  <si>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</si>
  <si>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</si>
  <si>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</si>
  <si>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</si>
  <si>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</si>
  <si>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</si>
  <si>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</si>
  <si>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</si>
  <si>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</si>
  <si>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</si>
  <si>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</si>
  <si>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</si>
  <si>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</si>
  <si>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</si>
  <si>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</si>
  <si>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</si>
  <si>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</si>
  <si>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</si>
  <si>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</si>
  <si>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</si>
  <si>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</si>
  <si>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</si>
  <si>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</si>
  <si>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</si>
  <si>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</si>
  <si>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</si>
  <si>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</si>
  <si>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</si>
  <si>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</si>
  <si>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</si>
  <si>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</si>
  <si>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</si>
  <si>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</si>
  <si>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</si>
  <si>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</si>
  <si>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</si>
  <si>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</si>
  <si>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</si>
  <si>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</si>
  <si>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</si>
  <si>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</si>
  <si>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</si>
  <si>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</si>
  <si>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</si>
  <si>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</si>
  <si>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</si>
  <si>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</si>
  <si>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</si>
  <si>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</si>
  <si>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</si>
  <si>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</si>
  <si>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</si>
  <si>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</si>
  <si>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</si>
  <si>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</si>
  <si>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</si>
  <si>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</si>
  <si>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</si>
  <si>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</si>
  <si>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</si>
  <si>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</si>
  <si>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</si>
  <si>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</si>
  <si>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</si>
  <si>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</si>
  <si>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</si>
  <si>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</si>
  <si>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</si>
  <si>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</si>
  <si>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</si>
  <si>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</si>
  <si>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</si>
  <si>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</si>
  <si>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</si>
  <si>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</si>
  <si>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</si>
  <si>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</si>
  <si>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</si>
  <si>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</si>
  <si>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</si>
  <si>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</si>
  <si>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</si>
  <si>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Brendan Beavis</t>
  </si>
  <si>
    <t>1:21.6522</t>
  </si>
  <si>
    <t>Dean Monik</t>
  </si>
  <si>
    <t>1:27.0472</t>
  </si>
  <si>
    <t>1:27.5404</t>
  </si>
  <si>
    <t>1:29.1484</t>
  </si>
  <si>
    <t>S15</t>
  </si>
  <si>
    <t>1:29.8012</t>
  </si>
  <si>
    <t>1:31.3621</t>
  </si>
  <si>
    <t>1:31.4495</t>
  </si>
  <si>
    <t>1:32.3068</t>
  </si>
  <si>
    <t>Justin Reynolds</t>
  </si>
  <si>
    <t>1:35.0621</t>
  </si>
  <si>
    <t>S11</t>
  </si>
  <si>
    <t>Matt Brogan</t>
  </si>
  <si>
    <t>1:35.0633</t>
  </si>
  <si>
    <t>1:35.7664</t>
  </si>
  <si>
    <t>1:35.9776</t>
  </si>
  <si>
    <t>1:36.0471</t>
  </si>
  <si>
    <t>1:36.0584</t>
  </si>
  <si>
    <t>1:36.3280</t>
  </si>
  <si>
    <t>1:37.7824</t>
  </si>
  <si>
    <t>Murray Seymour</t>
  </si>
  <si>
    <t>1:37.8929</t>
  </si>
  <si>
    <t>1:38.2266</t>
  </si>
  <si>
    <t>Greg Whyte</t>
  </si>
  <si>
    <t>1:38.6894</t>
  </si>
  <si>
    <t>1:39.0321</t>
  </si>
  <si>
    <t>Eden Beavis</t>
  </si>
  <si>
    <t>1:39.2082</t>
  </si>
  <si>
    <t>S19</t>
  </si>
  <si>
    <t>Tim Van Duyl</t>
  </si>
  <si>
    <t>1:39.3514</t>
  </si>
  <si>
    <t>1:39.9529</t>
  </si>
  <si>
    <t>1:40.1349</t>
  </si>
  <si>
    <t>S26</t>
  </si>
  <si>
    <t>1:40.5232</t>
  </si>
  <si>
    <t>1:42.2940</t>
  </si>
  <si>
    <t>Simon Acfield</t>
  </si>
  <si>
    <t>1:44.1230</t>
  </si>
  <si>
    <t>Travis Abreu</t>
  </si>
  <si>
    <t>1:49.0781</t>
  </si>
  <si>
    <t>Michael Williams</t>
  </si>
  <si>
    <t>1:51.4449</t>
  </si>
  <si>
    <t>James Sanderson</t>
  </si>
  <si>
    <t>Robert Hart</t>
  </si>
  <si>
    <t>Peter Phillips</t>
  </si>
  <si>
    <t>Steven Cook</t>
  </si>
  <si>
    <t>Brendan</t>
  </si>
  <si>
    <t>BEAVIS</t>
  </si>
  <si>
    <t>Jarrah</t>
  </si>
  <si>
    <t>PITT</t>
  </si>
  <si>
    <t>Murray</t>
  </si>
  <si>
    <t>SEYMOUR</t>
  </si>
  <si>
    <t>1:06.6246</t>
  </si>
  <si>
    <t>1:09.0900</t>
  </si>
  <si>
    <t>Steve Schreck</t>
  </si>
  <si>
    <t>1:09.4779</t>
  </si>
  <si>
    <t>1:10.1969</t>
  </si>
  <si>
    <t>1:12.2251</t>
  </si>
  <si>
    <t>1:12.3326</t>
  </si>
  <si>
    <t>1:12.6069</t>
  </si>
  <si>
    <t>1:12.8438</t>
  </si>
  <si>
    <t>Peter Marks</t>
  </si>
  <si>
    <t>1:13.4683</t>
  </si>
  <si>
    <t>1:13.8450</t>
  </si>
  <si>
    <t>1:14.6932</t>
  </si>
  <si>
    <t>1:14.7313</t>
  </si>
  <si>
    <t>1:14.9232</t>
  </si>
  <si>
    <t>1:16.3268</t>
  </si>
  <si>
    <t>Tom Whelan</t>
  </si>
  <si>
    <t>1:15.1770</t>
  </si>
  <si>
    <t>Dean Hasnat</t>
  </si>
  <si>
    <t>Daniel White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</si>
</sst>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medium"/>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2">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37"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6" borderId="17" xfId="0" applyFont="1" applyFill="1" applyBorder="1" applyAlignment="1">
      <alignment/>
    </xf>
    <xf numFmtId="0" fontId="0" fillId="6" borderId="17" xfId="0" applyFill="1" applyBorder="1" applyAlignment="1">
      <alignment horizontal="center"/>
    </xf>
    <xf numFmtId="0" fontId="0" fillId="44" borderId="17" xfId="0" applyFont="1" applyFill="1" applyBorder="1" applyAlignment="1">
      <alignment horizontal="center"/>
    </xf>
    <xf numFmtId="0" fontId="0" fillId="6" borderId="17" xfId="0" applyFont="1" applyFill="1" applyBorder="1" applyAlignment="1">
      <alignment horizontal="center"/>
    </xf>
    <xf numFmtId="0" fontId="0" fillId="6" borderId="18" xfId="0" applyFont="1" applyFill="1" applyBorder="1" applyAlignment="1">
      <alignment horizontal="center"/>
    </xf>
    <xf numFmtId="0" fontId="0" fillId="38" borderId="15" xfId="0" applyFont="1" applyFill="1"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33" borderId="15" xfId="0"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5" borderId="14" xfId="0" applyFill="1" applyBorder="1" applyAlignment="1">
      <alignment horizontal="center"/>
    </xf>
    <xf numFmtId="0" fontId="0" fillId="45" borderId="0" xfId="0" applyFill="1" applyBorder="1" applyAlignment="1">
      <alignment/>
    </xf>
    <xf numFmtId="0" fontId="0" fillId="45" borderId="0" xfId="0" applyFill="1" applyBorder="1" applyAlignment="1">
      <alignment horizontal="center"/>
    </xf>
    <xf numFmtId="185" fontId="0" fillId="45" borderId="0" xfId="0" applyNumberFormat="1" applyFill="1" applyBorder="1" applyAlignment="1">
      <alignment/>
    </xf>
    <xf numFmtId="0" fontId="0" fillId="45"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5" borderId="0" xfId="0" applyNumberFormat="1" applyFont="1" applyFill="1" applyBorder="1" applyAlignment="1">
      <alignment horizontal="center"/>
    </xf>
    <xf numFmtId="2" fontId="0" fillId="45"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4"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28"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28"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8" applyNumberFormat="1" applyFont="1" applyFill="1" applyBorder="1" applyAlignment="1">
      <alignment horizontal="center"/>
      <protection/>
    </xf>
    <xf numFmtId="179" fontId="0" fillId="41" borderId="0" xfId="58" applyNumberFormat="1" applyFont="1" applyFill="1" applyBorder="1" applyAlignment="1">
      <alignment horizontal="center"/>
      <protection/>
    </xf>
    <xf numFmtId="179" fontId="0" fillId="33" borderId="0" xfId="58" applyNumberFormat="1" applyFont="1" applyFill="1" applyBorder="1" applyAlignment="1">
      <alignment horizontal="center"/>
      <protection/>
    </xf>
    <xf numFmtId="179" fontId="0" fillId="37" borderId="0" xfId="58" applyNumberFormat="1" applyFont="1" applyFill="1" applyBorder="1" applyAlignment="1">
      <alignment horizontal="center"/>
      <protection/>
    </xf>
    <xf numFmtId="179" fontId="0" fillId="35" borderId="10" xfId="58" applyNumberFormat="1" applyFont="1" applyFill="1" applyBorder="1" applyAlignment="1">
      <alignment horizontal="center"/>
      <protection/>
    </xf>
    <xf numFmtId="179" fontId="0" fillId="32" borderId="0" xfId="58" applyNumberFormat="1" applyFont="1" applyFill="1" applyBorder="1" applyAlignment="1">
      <alignment horizontal="center"/>
      <protection/>
    </xf>
    <xf numFmtId="0" fontId="0" fillId="44" borderId="0" xfId="0" applyFont="1" applyFill="1" applyBorder="1" applyAlignment="1">
      <alignment horizontal="center"/>
    </xf>
    <xf numFmtId="0" fontId="0" fillId="1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5" fillId="46" borderId="29" xfId="0" applyFont="1" applyFill="1" applyBorder="1" applyAlignment="1" quotePrefix="1">
      <alignment horizontal="center"/>
    </xf>
    <xf numFmtId="0" fontId="5" fillId="46" borderId="30" xfId="0" applyFont="1" applyFill="1" applyBorder="1" applyAlignment="1" quotePrefix="1">
      <alignment horizontal="center"/>
    </xf>
    <xf numFmtId="0" fontId="5" fillId="46" borderId="31" xfId="0" applyFont="1" applyFill="1" applyBorder="1" applyAlignment="1" quotePrefix="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5" borderId="0" xfId="0" applyFill="1" applyBorder="1" applyAlignment="1">
      <alignment horizontal="left"/>
    </xf>
    <xf numFmtId="49" fontId="0" fillId="45" borderId="0" xfId="0" applyNumberFormat="1" applyFill="1" applyBorder="1" applyAlignment="1">
      <alignment horizontal="center"/>
    </xf>
    <xf numFmtId="185" fontId="0" fillId="45" borderId="0" xfId="0" applyNumberFormat="1" applyFont="1" applyFill="1" applyBorder="1" applyAlignment="1">
      <alignment horizontal="center"/>
    </xf>
    <xf numFmtId="0" fontId="0" fillId="45"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0" fontId="0" fillId="0" borderId="0" xfId="0" applyFill="1" applyBorder="1" applyAlignment="1">
      <alignment horizontal="left"/>
    </xf>
    <xf numFmtId="185" fontId="0" fillId="0" borderId="0" xfId="0" applyNumberFormat="1" applyFont="1" applyFill="1" applyBorder="1" applyAlignment="1">
      <alignment horizontal="center"/>
    </xf>
    <xf numFmtId="179" fontId="5" fillId="34" borderId="15" xfId="0" applyNumberFormat="1" applyFont="1" applyFill="1" applyBorder="1" applyAlignment="1">
      <alignment horizontal="center"/>
    </xf>
    <xf numFmtId="179" fontId="5" fillId="32" borderId="15" xfId="0" applyNumberFormat="1" applyFont="1" applyFill="1" applyBorder="1" applyAlignment="1">
      <alignment horizontal="center"/>
    </xf>
    <xf numFmtId="179" fontId="5" fillId="41" borderId="15" xfId="0" applyNumberFormat="1" applyFont="1" applyFill="1" applyBorder="1" applyAlignment="1">
      <alignment horizontal="center"/>
    </xf>
    <xf numFmtId="0" fontId="5" fillId="35" borderId="10" xfId="0" applyFont="1" applyFill="1" applyBorder="1" applyAlignment="1">
      <alignment horizontal="center"/>
    </xf>
    <xf numFmtId="179" fontId="5" fillId="35" borderId="19" xfId="0" applyNumberFormat="1"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49" fontId="5" fillId="35" borderId="17" xfId="0" applyNumberFormat="1" applyFont="1" applyFill="1" applyBorder="1" applyAlignment="1">
      <alignment/>
    </xf>
    <xf numFmtId="0" fontId="5" fillId="35" borderId="17" xfId="0" applyFont="1" applyFill="1" applyBorder="1" applyAlignment="1">
      <alignment/>
    </xf>
    <xf numFmtId="0" fontId="0" fillId="35" borderId="17" xfId="0" applyNumberFormat="1" applyFont="1" applyFill="1" applyBorder="1" applyAlignment="1">
      <alignment horizontal="center"/>
    </xf>
    <xf numFmtId="180" fontId="0" fillId="35" borderId="17" xfId="0" applyNumberFormat="1" applyFont="1" applyFill="1" applyBorder="1" applyAlignment="1">
      <alignment horizontal="center"/>
    </xf>
    <xf numFmtId="2" fontId="0" fillId="35" borderId="17" xfId="0" applyNumberFormat="1" applyFill="1" applyBorder="1" applyAlignment="1">
      <alignment horizontal="center"/>
    </xf>
    <xf numFmtId="49" fontId="0" fillId="41" borderId="0" xfId="0" applyNumberFormat="1" applyFill="1" applyBorder="1" applyAlignment="1">
      <alignment/>
    </xf>
    <xf numFmtId="0" fontId="0" fillId="36" borderId="14" xfId="0" applyFill="1" applyBorder="1" applyAlignment="1">
      <alignment horizontal="center"/>
    </xf>
    <xf numFmtId="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49" fontId="5" fillId="41" borderId="0" xfId="0" applyNumberFormat="1" applyFont="1" applyFill="1" applyBorder="1" applyAlignment="1">
      <alignment/>
    </xf>
    <xf numFmtId="0" fontId="5" fillId="41" borderId="0" xfId="0" applyFont="1" applyFill="1" applyBorder="1" applyAlignment="1">
      <alignment/>
    </xf>
    <xf numFmtId="49" fontId="5" fillId="33" borderId="0" xfId="0" applyNumberFormat="1" applyFont="1" applyFill="1" applyBorder="1" applyAlignment="1">
      <alignment/>
    </xf>
    <xf numFmtId="49" fontId="5" fillId="37" borderId="0" xfId="0" applyNumberFormat="1" applyFont="1" applyFill="1" applyBorder="1" applyAlignment="1">
      <alignment/>
    </xf>
    <xf numFmtId="0" fontId="5" fillId="37" borderId="0" xfId="0" applyFont="1" applyFill="1" applyBorder="1" applyAlignment="1">
      <alignment/>
    </xf>
    <xf numFmtId="49" fontId="0" fillId="33" borderId="0" xfId="0" applyNumberFormat="1" applyFill="1" applyBorder="1" applyAlignment="1">
      <alignment/>
    </xf>
    <xf numFmtId="49" fontId="0" fillId="38" borderId="0" xfId="0" applyNumberFormat="1" applyFill="1" applyBorder="1" applyAlignment="1">
      <alignment/>
    </xf>
    <xf numFmtId="0" fontId="0" fillId="7" borderId="14" xfId="0"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xf>
    <xf numFmtId="49" fontId="0" fillId="7" borderId="0" xfId="0" applyNumberFormat="1" applyFill="1" applyBorder="1" applyAlignment="1">
      <alignment/>
    </xf>
    <xf numFmtId="0" fontId="0" fillId="7" borderId="0" xfId="0" applyNumberFormat="1" applyFont="1" applyFill="1" applyBorder="1" applyAlignment="1">
      <alignment horizontal="center"/>
    </xf>
    <xf numFmtId="2" fontId="0" fillId="7" borderId="0" xfId="0" applyNumberFormat="1" applyFill="1" applyBorder="1" applyAlignment="1">
      <alignment horizontal="center"/>
    </xf>
    <xf numFmtId="0" fontId="0" fillId="33" borderId="20" xfId="0" applyFill="1" applyBorder="1" applyAlignment="1">
      <alignment horizontal="center"/>
    </xf>
    <xf numFmtId="180" fontId="0" fillId="7" borderId="0" xfId="0" applyNumberFormat="1" applyFont="1" applyFill="1" applyBorder="1" applyAlignment="1">
      <alignment horizontal="center"/>
    </xf>
    <xf numFmtId="180" fontId="0" fillId="36" borderId="0" xfId="0" applyNumberFormat="1" applyFont="1" applyFill="1" applyBorder="1" applyAlignment="1">
      <alignment horizontal="center"/>
    </xf>
    <xf numFmtId="0" fontId="0" fillId="35" borderId="18" xfId="0" applyFill="1" applyBorder="1" applyAlignment="1">
      <alignment horizontal="center"/>
    </xf>
    <xf numFmtId="0" fontId="0" fillId="41" borderId="15" xfId="0" applyFill="1" applyBorder="1" applyAlignment="1">
      <alignment horizontal="center"/>
    </xf>
    <xf numFmtId="0" fontId="0" fillId="38" borderId="15" xfId="0" applyFill="1" applyBorder="1" applyAlignment="1">
      <alignment horizontal="center"/>
    </xf>
    <xf numFmtId="0" fontId="0" fillId="7" borderId="15" xfId="0" applyFill="1" applyBorder="1" applyAlignment="1">
      <alignment horizontal="center"/>
    </xf>
    <xf numFmtId="0" fontId="0" fillId="36" borderId="15" xfId="0" applyFill="1" applyBorder="1" applyAlignment="1">
      <alignment horizontal="center"/>
    </xf>
    <xf numFmtId="0" fontId="5" fillId="46" borderId="32" xfId="0" applyNumberFormat="1" applyFont="1" applyFill="1" applyBorder="1" applyAlignment="1">
      <alignment horizontal="center"/>
    </xf>
    <xf numFmtId="0" fontId="5" fillId="46" borderId="27" xfId="0" applyNumberFormat="1" applyFont="1" applyFill="1" applyBorder="1" applyAlignment="1">
      <alignment horizontal="center"/>
    </xf>
    <xf numFmtId="0" fontId="5" fillId="46" borderId="33" xfId="0" applyNumberFormat="1" applyFont="1" applyFill="1" applyBorder="1" applyAlignment="1">
      <alignment horizontal="center"/>
    </xf>
    <xf numFmtId="0" fontId="0" fillId="6" borderId="16" xfId="0" applyFont="1" applyFill="1" applyBorder="1" applyAlignment="1">
      <alignment horizontal="center"/>
    </xf>
    <xf numFmtId="0" fontId="0" fillId="11" borderId="10" xfId="0" applyFont="1" applyFill="1" applyBorder="1" applyAlignment="1">
      <alignment horizontal="center"/>
    </xf>
    <xf numFmtId="0" fontId="0" fillId="11" borderId="10" xfId="0" applyFont="1" applyFill="1" applyBorder="1" applyAlignment="1">
      <alignment/>
    </xf>
    <xf numFmtId="0" fontId="0" fillId="11" borderId="10" xfId="0" applyFill="1" applyBorder="1" applyAlignment="1">
      <alignment horizontal="center"/>
    </xf>
    <xf numFmtId="0" fontId="0" fillId="11" borderId="20" xfId="0" applyFont="1" applyFill="1" applyBorder="1" applyAlignment="1">
      <alignment horizontal="center"/>
    </xf>
    <xf numFmtId="0" fontId="0" fillId="11" borderId="19" xfId="0" applyFont="1" applyFill="1" applyBorder="1" applyAlignment="1">
      <alignment horizontal="center"/>
    </xf>
    <xf numFmtId="0" fontId="0" fillId="0" borderId="10" xfId="0" applyFill="1" applyBorder="1" applyAlignment="1">
      <alignment/>
    </xf>
    <xf numFmtId="0" fontId="5" fillId="37" borderId="17" xfId="0" applyFont="1" applyFill="1" applyBorder="1" applyAlignment="1">
      <alignment/>
    </xf>
    <xf numFmtId="0" fontId="0" fillId="44" borderId="14" xfId="0" applyFill="1" applyBorder="1" applyAlignment="1">
      <alignment horizontal="center"/>
    </xf>
    <xf numFmtId="0" fontId="0" fillId="44" borderId="0" xfId="0" applyFill="1" applyBorder="1" applyAlignment="1">
      <alignment/>
    </xf>
    <xf numFmtId="0" fontId="0" fillId="44" borderId="0" xfId="0" applyFill="1" applyBorder="1" applyAlignment="1">
      <alignment horizontal="center"/>
    </xf>
    <xf numFmtId="0" fontId="5" fillId="44" borderId="0" xfId="0" applyFont="1" applyFill="1" applyBorder="1" applyAlignment="1">
      <alignment/>
    </xf>
    <xf numFmtId="0" fontId="0" fillId="44" borderId="0" xfId="0" applyNumberFormat="1" applyFont="1" applyFill="1" applyBorder="1" applyAlignment="1">
      <alignment horizontal="center"/>
    </xf>
    <xf numFmtId="180" fontId="0" fillId="44" borderId="0" xfId="0" applyNumberFormat="1" applyFont="1" applyFill="1" applyBorder="1" applyAlignment="1">
      <alignment horizontal="center"/>
    </xf>
    <xf numFmtId="2" fontId="0" fillId="44" borderId="0" xfId="0" applyNumberFormat="1" applyFill="1" applyBorder="1" applyAlignment="1">
      <alignment horizontal="center"/>
    </xf>
    <xf numFmtId="0" fontId="0" fillId="44" borderId="15" xfId="0" applyFill="1" applyBorder="1" applyAlignment="1">
      <alignment horizontal="center"/>
    </xf>
    <xf numFmtId="0" fontId="5" fillId="34" borderId="0" xfId="0" applyFont="1" applyFill="1" applyBorder="1" applyAlignment="1">
      <alignment/>
    </xf>
    <xf numFmtId="0" fontId="5" fillId="38" borderId="0" xfId="0" applyFont="1" applyFill="1" applyBorder="1" applyAlignment="1">
      <alignment/>
    </xf>
    <xf numFmtId="49" fontId="5" fillId="37" borderId="17"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4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8" borderId="0" xfId="0" applyNumberFormat="1" applyFont="1" applyFill="1" applyBorder="1" applyAlignment="1">
      <alignment horizontal="center"/>
    </xf>
    <xf numFmtId="49" fontId="0" fillId="36" borderId="0" xfId="0" applyNumberFormat="1" applyFill="1" applyBorder="1" applyAlignment="1">
      <alignment horizontal="center"/>
    </xf>
    <xf numFmtId="49" fontId="0" fillId="0" borderId="10" xfId="0" applyNumberFormat="1" applyFill="1"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7">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36"/>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622" t="s">
        <v>118</v>
      </c>
      <c r="B1" s="622"/>
      <c r="C1" s="622"/>
      <c r="D1" s="622"/>
      <c r="E1" s="622"/>
      <c r="F1" s="622"/>
      <c r="G1" s="622"/>
      <c r="H1" s="622"/>
      <c r="I1" s="622"/>
      <c r="J1" s="622"/>
      <c r="K1" s="622"/>
      <c r="L1" s="622"/>
      <c r="M1" s="622"/>
      <c r="N1" s="622"/>
      <c r="O1" s="622"/>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75">
      <c r="A3" s="523">
        <v>1</v>
      </c>
      <c r="B3" s="363" t="s">
        <v>70</v>
      </c>
      <c r="C3" s="363" t="s">
        <v>71</v>
      </c>
      <c r="D3" s="364" t="s">
        <v>51</v>
      </c>
      <c r="E3" s="594">
        <f aca="true" t="shared" si="0" ref="E3:E9">SUM(F3:O3)</f>
        <v>520</v>
      </c>
      <c r="F3" s="597">
        <f>_xlfn.IFERROR(VLOOKUP($P3,'Rd1 PI'!$C$2:$AC$21,27,0),0)</f>
        <v>100</v>
      </c>
      <c r="G3" s="365">
        <f>_xlfn.IFERROR(VLOOKUP($P3,'Rd2 Winton'!$C$2:$AC$24,27,0),0)</f>
        <v>110</v>
      </c>
      <c r="H3" s="366">
        <f>_xlfn.IFERROR(VLOOKUP($P3,'Rd3 Winton IC'!$C$2:$AC$56,27,0),0)</f>
        <v>90</v>
      </c>
      <c r="I3" s="366">
        <f>_xlfn.IFERROR(VLOOKUP($P3,'Rd4 Sandown'!$C$2:$AC$30,27,0),0)</f>
        <v>110</v>
      </c>
      <c r="J3" s="366">
        <f>_xlfn.IFERROR(VLOOKUP($P3,'Rd5 Winton'!$C$2:$AC$29,27,0),0)</f>
        <v>110</v>
      </c>
      <c r="K3" s="366">
        <f>_xlfn.IFERROR(VLOOKUP($P3,#REF!,27,0),0)</f>
        <v>0</v>
      </c>
      <c r="L3" s="366">
        <f>_xlfn.IFERROR(VLOOKUP($P3,#REF!,27,0),0)</f>
        <v>0</v>
      </c>
      <c r="M3" s="366">
        <f>_xlfn.IFERROR(VLOOKUP($P3,#REF!,27,0),0)</f>
        <v>0</v>
      </c>
      <c r="N3" s="366">
        <f>_xlfn.IFERROR(VLOOKUP($P3,#REF!,27,0),0)</f>
        <v>0</v>
      </c>
      <c r="O3" s="367">
        <f>_xlfn.IFERROR(VLOOKUP($P3,#REF!,27,0),0)</f>
        <v>0</v>
      </c>
      <c r="P3" s="5" t="str">
        <f aca="true" t="shared" si="1" ref="P3:P31">CONCATENATE(LOWER(B3)," ",LOWER(C3))</f>
        <v>gavin newman</v>
      </c>
    </row>
    <row r="4" spans="1:16" s="5" customFormat="1" ht="12.75">
      <c r="A4" s="524">
        <v>1</v>
      </c>
      <c r="B4" s="173" t="s">
        <v>144</v>
      </c>
      <c r="C4" s="173" t="s">
        <v>145</v>
      </c>
      <c r="D4" s="125" t="s">
        <v>16</v>
      </c>
      <c r="E4" s="595">
        <f t="shared" si="0"/>
        <v>520</v>
      </c>
      <c r="F4" s="174">
        <f>_xlfn.IFERROR(VLOOKUP($P4,'Rd1 PI'!$C$2:$AC$21,27,0),0)</f>
        <v>100</v>
      </c>
      <c r="G4" s="125">
        <f>_xlfn.IFERROR(VLOOKUP($P4,'Rd2 Winton'!$C$2:$AC$24,27,0),0)</f>
        <v>110</v>
      </c>
      <c r="H4" s="125">
        <f>_xlfn.IFERROR(VLOOKUP($P4,'Rd3 Winton IC'!$C$2:$AC$56,27,0),0)</f>
        <v>90</v>
      </c>
      <c r="I4" s="125">
        <f>_xlfn.IFERROR(VLOOKUP($P4,'Rd4 Sandown'!$C$2:$AC$30,27,0),0)</f>
        <v>110</v>
      </c>
      <c r="J4" s="125">
        <f>_xlfn.IFERROR(VLOOKUP($P4,'Rd5 Winton'!$C$2:$AC$29,27,0),0)</f>
        <v>110</v>
      </c>
      <c r="K4" s="125">
        <f>_xlfn.IFERROR(VLOOKUP($P4,#REF!,27,0),0)</f>
        <v>0</v>
      </c>
      <c r="L4" s="125">
        <f>_xlfn.IFERROR(VLOOKUP($P4,#REF!,27,0),0)</f>
        <v>0</v>
      </c>
      <c r="M4" s="125">
        <f>_xlfn.IFERROR(VLOOKUP($P4,#REF!,27,0),0)</f>
        <v>0</v>
      </c>
      <c r="N4" s="125">
        <f>_xlfn.IFERROR(VLOOKUP($P4,#REF!,27,0),0)</f>
        <v>0</v>
      </c>
      <c r="O4" s="329">
        <f>_xlfn.IFERROR(VLOOKUP($P4,#REF!,27,0),0)</f>
        <v>0</v>
      </c>
      <c r="P4" s="5" t="str">
        <f t="shared" si="1"/>
        <v>russell garner</v>
      </c>
    </row>
    <row r="5" spans="1:16" s="5" customFormat="1" ht="12.75">
      <c r="A5" s="524">
        <v>3</v>
      </c>
      <c r="B5" s="56" t="s">
        <v>57</v>
      </c>
      <c r="C5" s="56" t="s">
        <v>58</v>
      </c>
      <c r="D5" s="48" t="s">
        <v>5</v>
      </c>
      <c r="E5" s="595">
        <f t="shared" si="0"/>
        <v>475</v>
      </c>
      <c r="F5" s="165">
        <f>_xlfn.IFERROR(VLOOKUP($P5,'Rd1 PI'!$C$2:$AC$21,27,0),0)</f>
        <v>95</v>
      </c>
      <c r="G5" s="510">
        <f>_xlfn.IFERROR(VLOOKUP($P5,'Rd2 Winton'!$C$2:$AC$24,27,0),0)</f>
        <v>100</v>
      </c>
      <c r="H5" s="510">
        <f>_xlfn.IFERROR(VLOOKUP($P5,'Rd3 Winton IC'!$C$2:$AC$56,27,0),0)</f>
        <v>90</v>
      </c>
      <c r="I5" s="510">
        <f>_xlfn.IFERROR(VLOOKUP($P5,'Rd4 Sandown'!$C$2:$AC$30,27,0),0)</f>
        <v>80</v>
      </c>
      <c r="J5" s="510">
        <f>_xlfn.IFERROR(VLOOKUP($P5,'Rd5 Winton'!$C$2:$AC$29,27,0),0)</f>
        <v>110</v>
      </c>
      <c r="K5" s="510">
        <f>_xlfn.IFERROR(VLOOKUP($P5,#REF!,27,0),0)</f>
        <v>0</v>
      </c>
      <c r="L5" s="510">
        <f>_xlfn.IFERROR(VLOOKUP($P5,#REF!,27,0),0)</f>
        <v>0</v>
      </c>
      <c r="M5" s="510">
        <f>_xlfn.IFERROR(VLOOKUP($P5,#REF!,27,0),0)</f>
        <v>0</v>
      </c>
      <c r="N5" s="510">
        <f>_xlfn.IFERROR(VLOOKUP($P5,#REF!,27,0),0)</f>
        <v>0</v>
      </c>
      <c r="O5" s="325">
        <f>_xlfn.IFERROR(VLOOKUP($P5,#REF!,27,0),0)</f>
        <v>0</v>
      </c>
      <c r="P5" s="5" t="str">
        <f t="shared" si="1"/>
        <v>steve williamsz</v>
      </c>
    </row>
    <row r="6" spans="1:16" s="5" customFormat="1" ht="12.75">
      <c r="A6" s="524">
        <v>4</v>
      </c>
      <c r="B6" s="102" t="s">
        <v>31</v>
      </c>
      <c r="C6" s="102" t="s">
        <v>32</v>
      </c>
      <c r="D6" s="507" t="s">
        <v>21</v>
      </c>
      <c r="E6" s="595">
        <f t="shared" si="0"/>
        <v>410</v>
      </c>
      <c r="F6" s="161">
        <f>_xlfn.IFERROR(VLOOKUP($P6,'Rd1 PI'!$C$2:$AC$21,27,0),0)</f>
        <v>100</v>
      </c>
      <c r="G6" s="507">
        <f>_xlfn.IFERROR(VLOOKUP($P6,'Rd2 Winton'!$C$2:$AC$24,27,0),0)</f>
        <v>105</v>
      </c>
      <c r="H6" s="507">
        <f>_xlfn.IFERROR(VLOOKUP($P6,'Rd3 Winton IC'!$C$2:$AC$56,27,0),0)</f>
        <v>65</v>
      </c>
      <c r="I6" s="507">
        <f>_xlfn.IFERROR(VLOOKUP($P6,'Rd4 Sandown'!$C$2:$AC$30,27,0),0)</f>
        <v>60</v>
      </c>
      <c r="J6" s="507">
        <f>_xlfn.IFERROR(VLOOKUP($P6,'Rd5 Winton'!$C$2:$AC$29,27,0),0)</f>
        <v>80</v>
      </c>
      <c r="K6" s="507">
        <f>_xlfn.IFERROR(VLOOKUP($P6,#REF!,27,0),0)</f>
        <v>0</v>
      </c>
      <c r="L6" s="507">
        <f>_xlfn.IFERROR(VLOOKUP($P6,#REF!,27,0),0)</f>
        <v>0</v>
      </c>
      <c r="M6" s="507">
        <f>_xlfn.IFERROR(VLOOKUP($P6,#REF!,27,0),0)</f>
        <v>0</v>
      </c>
      <c r="N6" s="507">
        <f>_xlfn.IFERROR(VLOOKUP($P6,#REF!,27,0),0)</f>
        <v>0</v>
      </c>
      <c r="O6" s="328">
        <f>_xlfn.IFERROR(VLOOKUP($P6,#REF!,27,0),0)</f>
        <v>0</v>
      </c>
      <c r="P6" s="5" t="str">
        <f t="shared" si="1"/>
        <v>noel heritage</v>
      </c>
    </row>
    <row r="7" spans="1:16" s="5" customFormat="1" ht="12.75">
      <c r="A7" s="524">
        <v>5</v>
      </c>
      <c r="B7" s="520" t="s">
        <v>195</v>
      </c>
      <c r="C7" s="74" t="s">
        <v>198</v>
      </c>
      <c r="D7" s="421" t="s">
        <v>3</v>
      </c>
      <c r="E7" s="595">
        <f t="shared" si="0"/>
        <v>375</v>
      </c>
      <c r="F7" s="289">
        <f>_xlfn.IFERROR(VLOOKUP($P7,'Rd1 PI'!$C$2:$AC$21,27,0),0)</f>
        <v>0</v>
      </c>
      <c r="G7" s="511">
        <f>_xlfn.IFERROR(VLOOKUP($P7,'Rd2 Winton'!$C$2:$AC$24,27,0),0)</f>
        <v>90</v>
      </c>
      <c r="H7" s="511">
        <f>_xlfn.IFERROR(VLOOKUP($P7,'Rd3 Winton IC'!$C$2:$AC$56,27,0),0)</f>
        <v>90</v>
      </c>
      <c r="I7" s="511">
        <f>_xlfn.IFERROR(VLOOKUP($P7,'Rd4 Sandown'!$C$2:$AC$30,27,0),0)</f>
        <v>90</v>
      </c>
      <c r="J7" s="511">
        <f>_xlfn.IFERROR(VLOOKUP($P7,'Rd5 Winton'!$C$2:$AC$29,27,0),0)</f>
        <v>105</v>
      </c>
      <c r="K7" s="511">
        <f>_xlfn.IFERROR(VLOOKUP($P7,#REF!,27,0),0)</f>
        <v>0</v>
      </c>
      <c r="L7" s="511">
        <f>_xlfn.IFERROR(VLOOKUP($P7,#REF!,27,0),0)</f>
        <v>0</v>
      </c>
      <c r="M7" s="511">
        <f>_xlfn.IFERROR(VLOOKUP($P7,#REF!,27,0),0)</f>
        <v>0</v>
      </c>
      <c r="N7" s="511">
        <f>_xlfn.IFERROR(VLOOKUP($P7,#REF!,27,0),0)</f>
        <v>0</v>
      </c>
      <c r="O7" s="433">
        <f>_xlfn.IFERROR(VLOOKUP($P7,#REF!,27,0),0)</f>
        <v>0</v>
      </c>
      <c r="P7" s="5" t="str">
        <f t="shared" si="1"/>
        <v>kutay dal</v>
      </c>
    </row>
    <row r="8" spans="1:16" s="5" customFormat="1" ht="12.75">
      <c r="A8" s="524">
        <v>6</v>
      </c>
      <c r="B8" s="102" t="s">
        <v>113</v>
      </c>
      <c r="C8" s="102" t="s">
        <v>114</v>
      </c>
      <c r="D8" s="507" t="s">
        <v>21</v>
      </c>
      <c r="E8" s="595">
        <f t="shared" si="0"/>
        <v>350</v>
      </c>
      <c r="F8" s="161">
        <f>_xlfn.IFERROR(VLOOKUP($P8,'Rd1 PI'!$C$2:$AC$21,27,0),0)</f>
        <v>75</v>
      </c>
      <c r="G8" s="507">
        <f>_xlfn.IFERROR(VLOOKUP($P8,'Rd2 Winton'!$C$2:$AC$24,27,0),0)</f>
        <v>75</v>
      </c>
      <c r="H8" s="507">
        <f>_xlfn.IFERROR(VLOOKUP($P8,'Rd3 Winton IC'!$C$2:$AC$56,27,0),0)</f>
        <v>90</v>
      </c>
      <c r="I8" s="507">
        <f>_xlfn.IFERROR(VLOOKUP($P8,'Rd4 Sandown'!$C$2:$AC$30,27,0),0)</f>
        <v>45</v>
      </c>
      <c r="J8" s="507">
        <f>_xlfn.IFERROR(VLOOKUP($P8,'Rd5 Winton'!$C$2:$AC$29,27,0),0)</f>
        <v>65</v>
      </c>
      <c r="K8" s="507">
        <f>_xlfn.IFERROR(VLOOKUP($P8,#REF!,27,0),0)</f>
        <v>0</v>
      </c>
      <c r="L8" s="507">
        <f>_xlfn.IFERROR(VLOOKUP($P8,#REF!,27,0),0)</f>
        <v>0</v>
      </c>
      <c r="M8" s="507">
        <f>_xlfn.IFERROR(VLOOKUP($P8,#REF!,27,0),0)</f>
        <v>0</v>
      </c>
      <c r="N8" s="507">
        <f>_xlfn.IFERROR(VLOOKUP($P8,#REF!,27,0),0)</f>
        <v>0</v>
      </c>
      <c r="O8" s="328">
        <f>_xlfn.IFERROR(VLOOKUP($P8,#REF!,27,0),0)</f>
        <v>0</v>
      </c>
      <c r="P8" s="5" t="str">
        <f t="shared" si="1"/>
        <v>max lloyd</v>
      </c>
    </row>
    <row r="9" spans="1:16" s="5" customFormat="1" ht="12.75">
      <c r="A9" s="524">
        <v>7</v>
      </c>
      <c r="B9" s="56" t="s">
        <v>33</v>
      </c>
      <c r="C9" s="56" t="s">
        <v>34</v>
      </c>
      <c r="D9" s="48" t="s">
        <v>5</v>
      </c>
      <c r="E9" s="595">
        <f t="shared" si="0"/>
        <v>345</v>
      </c>
      <c r="F9" s="165">
        <f>_xlfn.IFERROR(VLOOKUP($P9,'Rd1 PI'!$C$2:$AC$21,27,0),0)</f>
        <v>50</v>
      </c>
      <c r="G9" s="510">
        <f>_xlfn.IFERROR(VLOOKUP($P9,'Rd2 Winton'!$C$2:$AC$24,27,0),0)</f>
        <v>65</v>
      </c>
      <c r="H9" s="510">
        <f>_xlfn.IFERROR(VLOOKUP($P9,'Rd3 Winton IC'!$C$2:$AC$56,27,0),0)</f>
        <v>50</v>
      </c>
      <c r="I9" s="510">
        <f>_xlfn.IFERROR(VLOOKUP($P9,'Rd4 Sandown'!$C$2:$AC$30,27,0),0)</f>
        <v>105</v>
      </c>
      <c r="J9" s="510">
        <f>_xlfn.IFERROR(VLOOKUP($P9,'Rd5 Winton'!$C$2:$AC$29,27,0),0)</f>
        <v>75</v>
      </c>
      <c r="K9" s="510">
        <f>_xlfn.IFERROR(VLOOKUP($P9,#REF!,27,0),0)</f>
        <v>0</v>
      </c>
      <c r="L9" s="510">
        <f>_xlfn.IFERROR(VLOOKUP($P9,#REF!,27,0),0)</f>
        <v>0</v>
      </c>
      <c r="M9" s="510">
        <f>_xlfn.IFERROR(VLOOKUP($P9,#REF!,27,0),0)</f>
        <v>0</v>
      </c>
      <c r="N9" s="510">
        <f>_xlfn.IFERROR(VLOOKUP($P9,#REF!,27,0),0)</f>
        <v>0</v>
      </c>
      <c r="O9" s="325">
        <f>_xlfn.IFERROR(VLOOKUP($P9,#REF!,27,0),0)</f>
        <v>0</v>
      </c>
      <c r="P9" s="5" t="str">
        <f t="shared" si="1"/>
        <v>simeon ouzas</v>
      </c>
    </row>
    <row r="10" spans="1:16" s="5" customFormat="1" ht="12.75">
      <c r="A10" s="524">
        <v>8</v>
      </c>
      <c r="B10" s="114" t="s">
        <v>189</v>
      </c>
      <c r="C10" s="114" t="s">
        <v>190</v>
      </c>
      <c r="D10" s="345" t="s">
        <v>52</v>
      </c>
      <c r="E10" s="595">
        <f>SUM(F10:O10)-SMALL(F10:O10,2)-MIN(F10:O10)</f>
        <v>330</v>
      </c>
      <c r="F10" s="288">
        <f>_xlfn.IFERROR(VLOOKUP($P10,'Rd1 PI'!$C$2:$AC$21,17,0),0)</f>
        <v>0</v>
      </c>
      <c r="G10" s="39">
        <f>_xlfn.IFERROR(VLOOKUP($P10,'Rd2 Winton'!$C$2:$AC$24,27,0),0)</f>
        <v>75</v>
      </c>
      <c r="H10" s="39">
        <f>_xlfn.IFERROR(VLOOKUP($P10,'Rd3 Winton IC'!$C$2:$AC$56,27,0),0)</f>
        <v>65</v>
      </c>
      <c r="I10" s="39">
        <f>_xlfn.IFERROR(VLOOKUP($P10,'Rd4 Sandown'!$C$2:$AC$30,27,0),0)</f>
        <v>80</v>
      </c>
      <c r="J10" s="39">
        <f>_xlfn.IFERROR(VLOOKUP($P10,'Rd5 Winton'!$C$2:$AC$29,27,0),0)</f>
        <v>110</v>
      </c>
      <c r="K10" s="39">
        <f>_xlfn.IFERROR(VLOOKUP($P10,#REF!,17,0),0)</f>
        <v>0</v>
      </c>
      <c r="L10" s="39">
        <f>_xlfn.IFERROR(VLOOKUP($P10,#REF!,17,0),0)</f>
        <v>0</v>
      </c>
      <c r="M10" s="39">
        <f>_xlfn.IFERROR(VLOOKUP($P10,#REF!,17,0),0)</f>
        <v>0</v>
      </c>
      <c r="N10" s="39">
        <f>_xlfn.IFERROR(VLOOKUP($P10,#REF!,17,0),0)</f>
        <v>0</v>
      </c>
      <c r="O10" s="383">
        <f>_xlfn.IFERROR(VLOOKUP($P10,#REF!,17,0),0)</f>
        <v>0</v>
      </c>
      <c r="P10" s="5" t="str">
        <f t="shared" si="1"/>
        <v>alan conrad</v>
      </c>
    </row>
    <row r="11" spans="1:16" s="5" customFormat="1" ht="12.75">
      <c r="A11" s="524">
        <v>9</v>
      </c>
      <c r="B11" s="114" t="s">
        <v>187</v>
      </c>
      <c r="C11" s="114" t="s">
        <v>188</v>
      </c>
      <c r="D11" s="345" t="s">
        <v>52</v>
      </c>
      <c r="E11" s="595">
        <f>SUM(F11:O11)-SMALL(F11:O11,2)-MIN(F11:O11)</f>
        <v>300</v>
      </c>
      <c r="F11" s="288">
        <f>_xlfn.IFERROR(VLOOKUP($P11,'Rd1 PI'!$C$2:$AC$21,17,0),0)</f>
        <v>0</v>
      </c>
      <c r="G11" s="39">
        <f>_xlfn.IFERROR(VLOOKUP($P11,'Rd2 Winton'!$C$2:$AC$24,27,0),0)</f>
        <v>100</v>
      </c>
      <c r="H11" s="39">
        <f>_xlfn.IFERROR(VLOOKUP($P11,'Rd3 Winton IC'!$C$2:$AC$56,27,0),0)</f>
        <v>90</v>
      </c>
      <c r="I11" s="39">
        <f>_xlfn.IFERROR(VLOOKUP($P11,'Rd4 Sandown'!$C$2:$AC$30,27,0),0)</f>
        <v>110</v>
      </c>
      <c r="J11" s="39">
        <f>_xlfn.IFERROR(VLOOKUP($P11,'Rd5 Winton'!$C$2:$AC$29,27,0),0)</f>
        <v>0</v>
      </c>
      <c r="K11" s="39">
        <f>_xlfn.IFERROR(VLOOKUP($P11,#REF!,17,0),0)</f>
        <v>0</v>
      </c>
      <c r="L11" s="39">
        <f>_xlfn.IFERROR(VLOOKUP($P11,#REF!,17,0),0)</f>
        <v>0</v>
      </c>
      <c r="M11" s="39">
        <f>_xlfn.IFERROR(VLOOKUP($P11,#REF!,17,0),0)</f>
        <v>0</v>
      </c>
      <c r="N11" s="39">
        <f>_xlfn.IFERROR(VLOOKUP($P11,#REF!,17,0),0)</f>
        <v>0</v>
      </c>
      <c r="O11" s="383">
        <f>_xlfn.IFERROR(VLOOKUP($P11,#REF!,17,0),0)</f>
        <v>0</v>
      </c>
      <c r="P11" s="5" t="str">
        <f t="shared" si="1"/>
        <v>randy stagno navarra</v>
      </c>
    </row>
    <row r="12" spans="1:16" s="5" customFormat="1" ht="12.75">
      <c r="A12" s="524">
        <v>10</v>
      </c>
      <c r="B12" s="56" t="s">
        <v>81</v>
      </c>
      <c r="C12" s="56" t="s">
        <v>66</v>
      </c>
      <c r="D12" s="48" t="s">
        <v>5</v>
      </c>
      <c r="E12" s="595">
        <f aca="true" t="shared" si="2" ref="E12:E31">SUM(F12:O12)</f>
        <v>285</v>
      </c>
      <c r="F12" s="165">
        <f>_xlfn.IFERROR(VLOOKUP($P12,'Rd1 PI'!$C$2:$AC$21,27,0),0)</f>
        <v>65</v>
      </c>
      <c r="G12" s="510">
        <f>_xlfn.IFERROR(VLOOKUP($P12,'Rd2 Winton'!$C$2:$AC$24,27,0),0)</f>
        <v>50</v>
      </c>
      <c r="H12" s="510">
        <f>_xlfn.IFERROR(VLOOKUP($P12,'Rd3 Winton IC'!$C$2:$AC$56,27,0),0)</f>
        <v>65</v>
      </c>
      <c r="I12" s="510">
        <f>_xlfn.IFERROR(VLOOKUP($P12,'Rd4 Sandown'!$C$2:$AC$30,27,0),0)</f>
        <v>50</v>
      </c>
      <c r="J12" s="510">
        <f>_xlfn.IFERROR(VLOOKUP($P12,'Rd5 Winton'!$C$2:$AC$29,27,0),0)</f>
        <v>55</v>
      </c>
      <c r="K12" s="510">
        <f>_xlfn.IFERROR(VLOOKUP($P12,#REF!,27,0),0)</f>
        <v>0</v>
      </c>
      <c r="L12" s="510">
        <f>_xlfn.IFERROR(VLOOKUP($P12,#REF!,27,0),0)</f>
        <v>0</v>
      </c>
      <c r="M12" s="510">
        <f>_xlfn.IFERROR(VLOOKUP($P12,#REF!,27,0),0)</f>
        <v>0</v>
      </c>
      <c r="N12" s="510">
        <f>_xlfn.IFERROR(VLOOKUP($P12,#REF!,27,0),0)</f>
        <v>0</v>
      </c>
      <c r="O12" s="325">
        <f>_xlfn.IFERROR(VLOOKUP($P12,#REF!,27,0),0)</f>
        <v>0</v>
      </c>
      <c r="P12" s="5" t="str">
        <f t="shared" si="1"/>
        <v>john downes</v>
      </c>
    </row>
    <row r="13" spans="1:16" s="5" customFormat="1" ht="12.75">
      <c r="A13" s="524">
        <v>11</v>
      </c>
      <c r="B13" s="291" t="s">
        <v>65</v>
      </c>
      <c r="C13" s="291" t="s">
        <v>66</v>
      </c>
      <c r="D13" s="509" t="s">
        <v>4</v>
      </c>
      <c r="E13" s="595">
        <f t="shared" si="2"/>
        <v>240</v>
      </c>
      <c r="F13" s="287">
        <f>_xlfn.IFERROR(VLOOKUP($P13,'Rd1 PI'!$C$2:$AC$21,27,0),0)</f>
        <v>50</v>
      </c>
      <c r="G13" s="509">
        <f>_xlfn.IFERROR(VLOOKUP($P13,'Rd2 Winton'!$C$2:$AC$24,27,0),0)</f>
        <v>35</v>
      </c>
      <c r="H13" s="509">
        <f>_xlfn.IFERROR(VLOOKUP($P13,'Rd3 Winton IC'!$C$2:$AC$56,27,0),0)</f>
        <v>90</v>
      </c>
      <c r="I13" s="509">
        <f>_xlfn.IFERROR(VLOOKUP($P13,'Rd4 Sandown'!$C$2:$AC$30,27,0),0)</f>
        <v>65</v>
      </c>
      <c r="J13" s="509">
        <f>_xlfn.IFERROR(VLOOKUP($P13,'Rd5 Winton'!$C$2:$AC$29,27,0),0)</f>
        <v>0</v>
      </c>
      <c r="K13" s="509">
        <f>_xlfn.IFERROR(VLOOKUP($P13,#REF!,27,0),0)</f>
        <v>0</v>
      </c>
      <c r="L13" s="509">
        <f>_xlfn.IFERROR(VLOOKUP($P13,#REF!,27,0),0)</f>
        <v>0</v>
      </c>
      <c r="M13" s="509">
        <f>_xlfn.IFERROR(VLOOKUP($P13,#REF!,27,0),0)</f>
        <v>0</v>
      </c>
      <c r="N13" s="509">
        <f>_xlfn.IFERROR(VLOOKUP($P13,#REF!,27,0),0)</f>
        <v>0</v>
      </c>
      <c r="O13" s="330">
        <f>_xlfn.IFERROR(VLOOKUP($P13,#REF!,27,0),0)</f>
        <v>0</v>
      </c>
      <c r="P13" s="5" t="str">
        <f t="shared" si="1"/>
        <v>robert downes</v>
      </c>
    </row>
    <row r="14" spans="1:16" s="5" customFormat="1" ht="12.75">
      <c r="A14" s="524">
        <v>12</v>
      </c>
      <c r="B14" s="163" t="s">
        <v>191</v>
      </c>
      <c r="C14" s="163" t="s">
        <v>192</v>
      </c>
      <c r="D14" s="508" t="s">
        <v>50</v>
      </c>
      <c r="E14" s="595">
        <f t="shared" si="2"/>
        <v>210</v>
      </c>
      <c r="F14" s="167">
        <f>_xlfn.IFERROR(VLOOKUP($P14,'Rd1 PI'!$C$2:$AC$21,27,0),0)</f>
        <v>0</v>
      </c>
      <c r="G14" s="508">
        <f>_xlfn.IFERROR(VLOOKUP($P14,'Rd2 Winton'!$C$2:$AC$24,27,0),0)</f>
        <v>35</v>
      </c>
      <c r="H14" s="508">
        <f>_xlfn.IFERROR(VLOOKUP($P14,'Rd3 Winton IC'!$C$2:$AC$56,27,0),0)</f>
        <v>0</v>
      </c>
      <c r="I14" s="508">
        <f>_xlfn.IFERROR(VLOOKUP($P14,'Rd4 Sandown'!$C$2:$AC$30,27,0),0)</f>
        <v>105</v>
      </c>
      <c r="J14" s="508">
        <f>_xlfn.IFERROR(VLOOKUP($P14,'Rd5 Winton'!$C$2:$AC$29,27,0),0)</f>
        <v>70</v>
      </c>
      <c r="K14" s="508">
        <f>_xlfn.IFERROR(VLOOKUP($P14,#REF!,27,0),0)</f>
        <v>0</v>
      </c>
      <c r="L14" s="508">
        <f>_xlfn.IFERROR(VLOOKUP($P14,#REF!,27,0),0)</f>
        <v>0</v>
      </c>
      <c r="M14" s="508">
        <f>_xlfn.IFERROR(VLOOKUP($P14,#REF!,27,0),0)</f>
        <v>0</v>
      </c>
      <c r="N14" s="508">
        <f>_xlfn.IFERROR(VLOOKUP($P14,#REF!,27,0),0)</f>
        <v>0</v>
      </c>
      <c r="O14" s="368">
        <f>_xlfn.IFERROR(VLOOKUP($P14,#REF!,27,0),0)</f>
        <v>0</v>
      </c>
      <c r="P14" s="5" t="str">
        <f t="shared" si="1"/>
        <v>david adam</v>
      </c>
    </row>
    <row r="15" spans="1:16" s="5" customFormat="1" ht="12.75">
      <c r="A15" s="524">
        <v>13</v>
      </c>
      <c r="B15" s="115" t="s">
        <v>199</v>
      </c>
      <c r="C15" s="115" t="s">
        <v>200</v>
      </c>
      <c r="D15" s="69" t="s">
        <v>13</v>
      </c>
      <c r="E15" s="595">
        <f t="shared" si="2"/>
        <v>190</v>
      </c>
      <c r="F15" s="166">
        <f>_xlfn.IFERROR(VLOOKUP($P15,'Rd1 PI'!$C$2:$AC$21,27,0),0)</f>
        <v>65</v>
      </c>
      <c r="G15" s="506">
        <f>_xlfn.IFERROR(VLOOKUP($P15,'Rd2 Winton'!$C$2:$AC$24,27,0),0)</f>
        <v>55</v>
      </c>
      <c r="H15" s="506">
        <f>_xlfn.IFERROR(VLOOKUP($P15,'Rd3 Winton IC'!$C$2:$AC$56,27,0),0)</f>
        <v>20</v>
      </c>
      <c r="I15" s="506">
        <f>_xlfn.IFERROR(VLOOKUP($P15,'Rd4 Sandown'!$C$2:$AC$30,27,0),0)</f>
        <v>50</v>
      </c>
      <c r="J15" s="506">
        <f>_xlfn.IFERROR(VLOOKUP($P15,'Rd5 Winton'!$C$2:$AC$29,27,0),0)</f>
        <v>0</v>
      </c>
      <c r="K15" s="506">
        <f>_xlfn.IFERROR(VLOOKUP($P15,#REF!,27,0),0)</f>
        <v>0</v>
      </c>
      <c r="L15" s="506">
        <f>_xlfn.IFERROR(VLOOKUP($P15,#REF!,27,0),0)</f>
        <v>0</v>
      </c>
      <c r="M15" s="506">
        <f>_xlfn.IFERROR(VLOOKUP($P15,#REF!,27,0),0)</f>
        <v>0</v>
      </c>
      <c r="N15" s="506">
        <f>_xlfn.IFERROR(VLOOKUP($P15,#REF!,27,0),0)</f>
        <v>0</v>
      </c>
      <c r="O15" s="326">
        <f>_xlfn.IFERROR(VLOOKUP($P15,#REF!,27,0),0)</f>
        <v>0</v>
      </c>
      <c r="P15" s="5" t="str">
        <f t="shared" si="1"/>
        <v>ray monik</v>
      </c>
    </row>
    <row r="16" spans="1:16" s="5" customFormat="1" ht="12.75">
      <c r="A16" s="524">
        <v>14</v>
      </c>
      <c r="B16" s="115" t="s">
        <v>183</v>
      </c>
      <c r="C16" s="115" t="s">
        <v>200</v>
      </c>
      <c r="D16" s="69" t="s">
        <v>13</v>
      </c>
      <c r="E16" s="595">
        <f t="shared" si="2"/>
        <v>160</v>
      </c>
      <c r="F16" s="166">
        <f>_xlfn.IFERROR(VLOOKUP($P16,'Rd1 PI'!$C$2:$AC$21,27,0),0)</f>
        <v>0</v>
      </c>
      <c r="G16" s="506">
        <f>_xlfn.IFERROR(VLOOKUP($P16,'Rd2 Winton'!$C$2:$AC$24,27,0),0)</f>
        <v>0</v>
      </c>
      <c r="H16" s="506">
        <f>_xlfn.IFERROR(VLOOKUP($P16,'Rd3 Winton IC'!$C$2:$AC$56,27,0),0)</f>
        <v>65</v>
      </c>
      <c r="I16" s="506">
        <f>_xlfn.IFERROR(VLOOKUP($P16,'Rd4 Sandown'!$C$2:$AC$30,27,0),0)</f>
        <v>95</v>
      </c>
      <c r="J16" s="506">
        <f>_xlfn.IFERROR(VLOOKUP($P16,'Rd5 Winton'!$C$2:$AC$29,27,0),0)</f>
        <v>0</v>
      </c>
      <c r="K16" s="506">
        <f>_xlfn.IFERROR(VLOOKUP($P16,#REF!,27,0),0)</f>
        <v>0</v>
      </c>
      <c r="L16" s="506">
        <f>_xlfn.IFERROR(VLOOKUP($P16,#REF!,27,0),0)</f>
        <v>0</v>
      </c>
      <c r="M16" s="506">
        <f>_xlfn.IFERROR(VLOOKUP($P16,#REF!,27,0),0)</f>
        <v>0</v>
      </c>
      <c r="N16" s="506">
        <f>_xlfn.IFERROR(VLOOKUP($P16,#REF!,27,0),0)</f>
        <v>0</v>
      </c>
      <c r="O16" s="326">
        <f>_xlfn.IFERROR(VLOOKUP($P16,#REF!,27,0),0)</f>
        <v>0</v>
      </c>
      <c r="P16" s="5" t="str">
        <f t="shared" si="1"/>
        <v>dean monik</v>
      </c>
    </row>
    <row r="17" spans="1:16" s="5" customFormat="1" ht="12.75">
      <c r="A17" s="524">
        <v>15</v>
      </c>
      <c r="B17" s="173" t="s">
        <v>183</v>
      </c>
      <c r="C17" s="173" t="s">
        <v>184</v>
      </c>
      <c r="D17" s="125" t="s">
        <v>16</v>
      </c>
      <c r="E17" s="595">
        <f t="shared" si="2"/>
        <v>135</v>
      </c>
      <c r="F17" s="174">
        <f>_xlfn.IFERROR(VLOOKUP($P17,'Rd1 PI'!$C$2:$AC$21,27,0),0)</f>
        <v>0</v>
      </c>
      <c r="G17" s="125">
        <f>_xlfn.IFERROR(VLOOKUP($P17,'Rd2 Winton'!$C$2:$AC$24,27,0),0)</f>
        <v>70</v>
      </c>
      <c r="H17" s="125">
        <f>_xlfn.IFERROR(VLOOKUP($P17,'Rd3 Winton IC'!$C$2:$AC$56,27,0),0)</f>
        <v>65</v>
      </c>
      <c r="I17" s="125">
        <f>_xlfn.IFERROR(VLOOKUP($P17,'Rd4 Sandown'!$C$2:$AC$30,27,0),0)</f>
        <v>0</v>
      </c>
      <c r="J17" s="125">
        <f>_xlfn.IFERROR(VLOOKUP($P17,'Rd5 Winton'!$C$2:$AC$29,27,0),0)</f>
        <v>0</v>
      </c>
      <c r="K17" s="125">
        <f>_xlfn.IFERROR(VLOOKUP($P17,#REF!,27,0),0)</f>
        <v>0</v>
      </c>
      <c r="L17" s="125">
        <f>_xlfn.IFERROR(VLOOKUP($P17,#REF!,27,0),0)</f>
        <v>0</v>
      </c>
      <c r="M17" s="125">
        <f>_xlfn.IFERROR(VLOOKUP($P17,#REF!,27,0),0)</f>
        <v>0</v>
      </c>
      <c r="N17" s="125">
        <f>_xlfn.IFERROR(VLOOKUP($P17,#REF!,27,0),0)</f>
        <v>0</v>
      </c>
      <c r="O17" s="329">
        <f>_xlfn.IFERROR(VLOOKUP($P17,#REF!,27,0),0)</f>
        <v>0</v>
      </c>
      <c r="P17" s="5" t="str">
        <f t="shared" si="1"/>
        <v>dean watchorn</v>
      </c>
    </row>
    <row r="18" spans="1:16" s="5" customFormat="1" ht="12.75">
      <c r="A18" s="524">
        <v>16</v>
      </c>
      <c r="B18" s="115" t="s">
        <v>185</v>
      </c>
      <c r="C18" s="115" t="s">
        <v>186</v>
      </c>
      <c r="D18" s="69" t="s">
        <v>13</v>
      </c>
      <c r="E18" s="595">
        <f t="shared" si="2"/>
        <v>110</v>
      </c>
      <c r="F18" s="166">
        <f>_xlfn.IFERROR(VLOOKUP($P18,'Rd1 PI'!$C$2:$AC$21,27,0),0)</f>
        <v>0</v>
      </c>
      <c r="G18" s="506">
        <f>_xlfn.IFERROR(VLOOKUP($P18,'Rd2 Winton'!$C$2:$AC$24,27,0),0)</f>
        <v>75</v>
      </c>
      <c r="H18" s="506">
        <f>_xlfn.IFERROR(VLOOKUP($P18,'Rd3 Winton IC'!$C$2:$AC$56,27,0),0)</f>
        <v>35</v>
      </c>
      <c r="I18" s="506">
        <f>_xlfn.IFERROR(VLOOKUP($P18,'Rd4 Sandown'!$C$2:$AC$30,27,0),0)</f>
        <v>0</v>
      </c>
      <c r="J18" s="506">
        <f>_xlfn.IFERROR(VLOOKUP($P18,'Rd5 Winton'!$C$2:$AC$29,27,0),0)</f>
        <v>0</v>
      </c>
      <c r="K18" s="506">
        <f>_xlfn.IFERROR(VLOOKUP($P18,#REF!,27,0),0)</f>
        <v>0</v>
      </c>
      <c r="L18" s="506">
        <f>_xlfn.IFERROR(VLOOKUP($P18,#REF!,27,0),0)</f>
        <v>0</v>
      </c>
      <c r="M18" s="506">
        <f>_xlfn.IFERROR(VLOOKUP($P18,#REF!,27,0),0)</f>
        <v>0</v>
      </c>
      <c r="N18" s="506">
        <f>_xlfn.IFERROR(VLOOKUP($P18,#REF!,27,0),0)</f>
        <v>0</v>
      </c>
      <c r="O18" s="326">
        <f>_xlfn.IFERROR(VLOOKUP($P18,#REF!,27,0),0)</f>
        <v>0</v>
      </c>
      <c r="P18" s="5" t="str">
        <f t="shared" si="1"/>
        <v>paul ledwith</v>
      </c>
    </row>
    <row r="19" spans="1:16" s="5" customFormat="1" ht="12.75">
      <c r="A19" s="524">
        <v>16</v>
      </c>
      <c r="B19" s="159" t="s">
        <v>427</v>
      </c>
      <c r="C19" s="159" t="s">
        <v>428</v>
      </c>
      <c r="D19" s="50" t="s">
        <v>14</v>
      </c>
      <c r="E19" s="595">
        <f t="shared" si="2"/>
        <v>110</v>
      </c>
      <c r="F19" s="164">
        <f>_xlfn.IFERROR(VLOOKUP($P19,'Rd1 PI'!$C$2:$AC$21,27,0),0)</f>
        <v>0</v>
      </c>
      <c r="G19" s="57">
        <f>_xlfn.IFERROR(VLOOKUP($P19,'Rd2 Winton'!$C$2:$AC$24,27,0),0)</f>
        <v>0</v>
      </c>
      <c r="H19" s="57">
        <f>_xlfn.IFERROR(VLOOKUP($P19,'Rd3 Winton IC'!$C$2:$AC$56,27,0),0)</f>
        <v>0</v>
      </c>
      <c r="I19" s="57">
        <f>_xlfn.IFERROR(VLOOKUP($P19,'Rd4 Sandown'!$C$2:$AC$30,27,0),0)</f>
        <v>110</v>
      </c>
      <c r="J19" s="57">
        <f>_xlfn.IFERROR(VLOOKUP($P19,'Rd5 Winton'!$C$2:$AC$29,27,0),0)</f>
        <v>0</v>
      </c>
      <c r="K19" s="57">
        <f>_xlfn.IFERROR(VLOOKUP($P19,#REF!,27,0),0)</f>
        <v>0</v>
      </c>
      <c r="L19" s="57">
        <f>_xlfn.IFERROR(VLOOKUP($P19,#REF!,27,0),0)</f>
        <v>0</v>
      </c>
      <c r="M19" s="57">
        <f>_xlfn.IFERROR(VLOOKUP($P19,#REF!,27,0),0)</f>
        <v>0</v>
      </c>
      <c r="N19" s="57">
        <f>_xlfn.IFERROR(VLOOKUP($P19,#REF!,27,0),0)</f>
        <v>0</v>
      </c>
      <c r="O19" s="327">
        <f>_xlfn.IFERROR(VLOOKUP($P19,#REF!,27,0),0)</f>
        <v>0</v>
      </c>
      <c r="P19" s="5" t="str">
        <f t="shared" si="1"/>
        <v>brendan beavis</v>
      </c>
    </row>
    <row r="20" spans="1:16" s="5" customFormat="1" ht="12.75">
      <c r="A20" s="524">
        <v>18</v>
      </c>
      <c r="B20" s="56" t="s">
        <v>147</v>
      </c>
      <c r="C20" s="47" t="s">
        <v>148</v>
      </c>
      <c r="D20" s="48" t="s">
        <v>5</v>
      </c>
      <c r="E20" s="595">
        <f t="shared" si="2"/>
        <v>105</v>
      </c>
      <c r="F20" s="165">
        <f>_xlfn.IFERROR(VLOOKUP($P20,'Rd1 PI'!$C$2:$AC$21,27,0),0)</f>
        <v>35</v>
      </c>
      <c r="G20" s="510">
        <f>_xlfn.IFERROR(VLOOKUP($P20,'Rd2 Winton'!$C$2:$AC$24,27,0),0)</f>
        <v>35</v>
      </c>
      <c r="H20" s="510">
        <f>_xlfn.IFERROR(VLOOKUP($P20,'Rd3 Winton IC'!$C$2:$AC$56,27,0),0)</f>
        <v>0</v>
      </c>
      <c r="I20" s="510">
        <f>_xlfn.IFERROR(VLOOKUP($P20,'Rd4 Sandown'!$C$2:$AC$30,27,0),0)</f>
        <v>35</v>
      </c>
      <c r="J20" s="510">
        <f>_xlfn.IFERROR(VLOOKUP($P20,'Rd5 Winton'!$C$2:$AC$29,27,0),0)</f>
        <v>0</v>
      </c>
      <c r="K20" s="510">
        <f>_xlfn.IFERROR(VLOOKUP($P20,#REF!,27,0),0)</f>
        <v>0</v>
      </c>
      <c r="L20" s="510">
        <f>_xlfn.IFERROR(VLOOKUP($P20,#REF!,27,0),0)</f>
        <v>0</v>
      </c>
      <c r="M20" s="510">
        <f>_xlfn.IFERROR(VLOOKUP($P20,#REF!,27,0),0)</f>
        <v>0</v>
      </c>
      <c r="N20" s="510">
        <f>_xlfn.IFERROR(VLOOKUP($P20,#REF!,27,0),0)</f>
        <v>0</v>
      </c>
      <c r="O20" s="325">
        <f>_xlfn.IFERROR(VLOOKUP($P20,#REF!,27,0),0)</f>
        <v>0</v>
      </c>
      <c r="P20" s="5" t="str">
        <f t="shared" si="1"/>
        <v>matthew cavell</v>
      </c>
    </row>
    <row r="21" spans="1:16" s="5" customFormat="1" ht="12.75">
      <c r="A21" s="524">
        <v>19</v>
      </c>
      <c r="B21" s="291" t="s">
        <v>377</v>
      </c>
      <c r="C21" s="291" t="s">
        <v>376</v>
      </c>
      <c r="D21" s="509" t="s">
        <v>4</v>
      </c>
      <c r="E21" s="595">
        <f t="shared" si="2"/>
        <v>95</v>
      </c>
      <c r="F21" s="287">
        <f>_xlfn.IFERROR(VLOOKUP($P21,'Rd1 PI'!$C$2:$AC$21,27,0),0)</f>
        <v>0</v>
      </c>
      <c r="G21" s="509">
        <f>_xlfn.IFERROR(VLOOKUP($P21,'Rd2 Winton'!$C$2:$AC$24,27,0),0)</f>
        <v>0</v>
      </c>
      <c r="H21" s="509">
        <f>_xlfn.IFERROR(VLOOKUP($P21,'Rd3 Winton IC'!$C$2:$AC$56,27,0),0)</f>
        <v>5</v>
      </c>
      <c r="I21" s="509">
        <f>_xlfn.IFERROR(VLOOKUP($P21,'Rd4 Sandown'!$C$2:$AC$30,27,0),0)</f>
        <v>90</v>
      </c>
      <c r="J21" s="509">
        <f>_xlfn.IFERROR(VLOOKUP($P21,'Rd5 Winton'!$C$2:$AC$29,27,0),0)</f>
        <v>0</v>
      </c>
      <c r="K21" s="509">
        <f>_xlfn.IFERROR(VLOOKUP($P21,#REF!,27,0),0)</f>
        <v>0</v>
      </c>
      <c r="L21" s="509">
        <f>_xlfn.IFERROR(VLOOKUP($P21,#REF!,27,0),0)</f>
        <v>0</v>
      </c>
      <c r="M21" s="509">
        <f>_xlfn.IFERROR(VLOOKUP($P21,#REF!,27,0),0)</f>
        <v>0</v>
      </c>
      <c r="N21" s="509">
        <f>_xlfn.IFERROR(VLOOKUP($P21,#REF!,27,0),0)</f>
        <v>0</v>
      </c>
      <c r="O21" s="330">
        <f>_xlfn.IFERROR(VLOOKUP($P21,#REF!,27,0),0)</f>
        <v>0</v>
      </c>
      <c r="P21" s="5" t="str">
        <f t="shared" si="1"/>
        <v>matt brogan</v>
      </c>
    </row>
    <row r="22" spans="1:16" s="5" customFormat="1" ht="12.75">
      <c r="A22" s="524">
        <v>20</v>
      </c>
      <c r="B22" s="115" t="s">
        <v>29</v>
      </c>
      <c r="C22" s="115" t="s">
        <v>30</v>
      </c>
      <c r="D22" s="69" t="s">
        <v>13</v>
      </c>
      <c r="E22" s="595">
        <f t="shared" si="2"/>
        <v>75</v>
      </c>
      <c r="F22" s="166">
        <f>_xlfn.IFERROR(VLOOKUP($P22,'Rd1 PI'!$C$2:$AC$21,27,0),0)</f>
        <v>50</v>
      </c>
      <c r="G22" s="506">
        <f>_xlfn.IFERROR(VLOOKUP($P22,'Rd2 Winton'!$C$2:$AC$24,27,0),0)</f>
        <v>20</v>
      </c>
      <c r="H22" s="506">
        <f>_xlfn.IFERROR(VLOOKUP($P22,'Rd3 Winton IC'!$C$2:$AC$56,27,0),0)</f>
        <v>5</v>
      </c>
      <c r="I22" s="506">
        <f>_xlfn.IFERROR(VLOOKUP($P22,'Rd4 Sandown'!$C$2:$AC$30,27,0),0)</f>
        <v>0</v>
      </c>
      <c r="J22" s="506">
        <f>_xlfn.IFERROR(VLOOKUP($P22,'Rd5 Winton'!$C$2:$AC$29,27,0),0)</f>
        <v>0</v>
      </c>
      <c r="K22" s="506">
        <f>_xlfn.IFERROR(VLOOKUP($P22,#REF!,27,0),0)</f>
        <v>0</v>
      </c>
      <c r="L22" s="506">
        <f>_xlfn.IFERROR(VLOOKUP($P22,#REF!,27,0),0)</f>
        <v>0</v>
      </c>
      <c r="M22" s="506">
        <f>_xlfn.IFERROR(VLOOKUP($P22,#REF!,27,0),0)</f>
        <v>0</v>
      </c>
      <c r="N22" s="506">
        <f>_xlfn.IFERROR(VLOOKUP($P22,#REF!,27,0),0)</f>
        <v>0</v>
      </c>
      <c r="O22" s="326">
        <f>_xlfn.IFERROR(VLOOKUP($P22,#REF!,27,0),0)</f>
        <v>0</v>
      </c>
      <c r="P22" s="5" t="str">
        <f t="shared" si="1"/>
        <v>tim meaden</v>
      </c>
    </row>
    <row r="23" spans="1:16" s="5" customFormat="1" ht="12.75">
      <c r="A23" s="524">
        <v>21</v>
      </c>
      <c r="B23" s="520" t="s">
        <v>368</v>
      </c>
      <c r="C23" s="520" t="s">
        <v>370</v>
      </c>
      <c r="D23" s="421" t="s">
        <v>3</v>
      </c>
      <c r="E23" s="595">
        <f t="shared" si="2"/>
        <v>65</v>
      </c>
      <c r="F23" s="289">
        <f>_xlfn.IFERROR(VLOOKUP($P23,'Rd1 PI'!$C$2:$AC$21,27,0),0)</f>
        <v>0</v>
      </c>
      <c r="G23" s="511">
        <f>_xlfn.IFERROR(VLOOKUP($P23,'Rd2 Winton'!$C$2:$AC$24,27,0),0)</f>
        <v>0</v>
      </c>
      <c r="H23" s="511">
        <f>_xlfn.IFERROR(VLOOKUP($P23,'Rd3 Winton IC'!$C$2:$AC$56,27,0),0)</f>
        <v>65</v>
      </c>
      <c r="I23" s="511">
        <f>_xlfn.IFERROR(VLOOKUP($P23,'Rd4 Sandown'!$C$2:$AC$30,27,0),0)</f>
        <v>0</v>
      </c>
      <c r="J23" s="511">
        <f>_xlfn.IFERROR(VLOOKUP($P23,'Rd5 Winton'!$C$2:$AC$29,27,0),0)</f>
        <v>0</v>
      </c>
      <c r="K23" s="511">
        <f>_xlfn.IFERROR(VLOOKUP($P23,#REF!,27,0),0)</f>
        <v>0</v>
      </c>
      <c r="L23" s="511">
        <f>_xlfn.IFERROR(VLOOKUP($P23,#REF!,27,0),0)</f>
        <v>0</v>
      </c>
      <c r="M23" s="511">
        <f>_xlfn.IFERROR(VLOOKUP($P23,#REF!,27,0),0)</f>
        <v>0</v>
      </c>
      <c r="N23" s="511">
        <f>_xlfn.IFERROR(VLOOKUP($P23,#REF!,27,0),0)</f>
        <v>0</v>
      </c>
      <c r="O23" s="433">
        <f>_xlfn.IFERROR(VLOOKUP($P23,#REF!,27,0),0)</f>
        <v>0</v>
      </c>
      <c r="P23" s="5" t="str">
        <f t="shared" si="1"/>
        <v>daryl ervine</v>
      </c>
    </row>
    <row r="24" spans="1:16" s="5" customFormat="1" ht="12.75">
      <c r="A24" s="524">
        <v>21</v>
      </c>
      <c r="B24" s="291" t="s">
        <v>374</v>
      </c>
      <c r="C24" s="291" t="s">
        <v>375</v>
      </c>
      <c r="D24" s="509" t="s">
        <v>4</v>
      </c>
      <c r="E24" s="595">
        <f t="shared" si="2"/>
        <v>65</v>
      </c>
      <c r="F24" s="287">
        <f>_xlfn.IFERROR(VLOOKUP($P24,'Rd1 PI'!$C$2:$AC$21,27,0),0)</f>
        <v>0</v>
      </c>
      <c r="G24" s="509">
        <f>_xlfn.IFERROR(VLOOKUP($P24,'Rd2 Winton'!$C$2:$AC$24,27,0),0)</f>
        <v>0</v>
      </c>
      <c r="H24" s="509">
        <f>_xlfn.IFERROR(VLOOKUP($P24,'Rd3 Winton IC'!$C$2:$AC$56,27,0),0)</f>
        <v>65</v>
      </c>
      <c r="I24" s="509">
        <f>_xlfn.IFERROR(VLOOKUP($P24,'Rd4 Sandown'!$C$2:$AC$30,27,0),0)</f>
        <v>0</v>
      </c>
      <c r="J24" s="509">
        <f>_xlfn.IFERROR(VLOOKUP($P24,'Rd5 Winton'!$C$2:$AC$29,27,0),0)</f>
        <v>0</v>
      </c>
      <c r="K24" s="509">
        <f>_xlfn.IFERROR(VLOOKUP($P24,#REF!,27,0),0)</f>
        <v>0</v>
      </c>
      <c r="L24" s="509">
        <f>_xlfn.IFERROR(VLOOKUP($P24,#REF!,27,0),0)</f>
        <v>0</v>
      </c>
      <c r="M24" s="509">
        <f>_xlfn.IFERROR(VLOOKUP($P24,#REF!,27,0),0)</f>
        <v>0</v>
      </c>
      <c r="N24" s="509">
        <f>_xlfn.IFERROR(VLOOKUP($P24,#REF!,27,0),0)</f>
        <v>0</v>
      </c>
      <c r="O24" s="330">
        <f>_xlfn.IFERROR(VLOOKUP($P24,#REF!,27,0),0)</f>
        <v>0</v>
      </c>
      <c r="P24" s="5" t="str">
        <f t="shared" si="1"/>
        <v>hung do</v>
      </c>
    </row>
    <row r="25" spans="1:16" s="5" customFormat="1" ht="12.75">
      <c r="A25" s="524">
        <v>23</v>
      </c>
      <c r="B25" s="102" t="s">
        <v>62</v>
      </c>
      <c r="C25" s="102" t="s">
        <v>59</v>
      </c>
      <c r="D25" s="36" t="s">
        <v>21</v>
      </c>
      <c r="E25" s="595">
        <f t="shared" si="2"/>
        <v>50</v>
      </c>
      <c r="F25" s="161">
        <f>_xlfn.IFERROR(VLOOKUP($P25,'Rd1 PI'!$C$2:$AC$21,27,0),0)</f>
        <v>50</v>
      </c>
      <c r="G25" s="507">
        <f>_xlfn.IFERROR(VLOOKUP($P25,'Rd2 Winton'!$C$2:$AC$24,27,0),0)</f>
        <v>0</v>
      </c>
      <c r="H25" s="507">
        <f>_xlfn.IFERROR(VLOOKUP($P25,'Rd3 Winton IC'!$C$2:$AC$56,27,0),0)</f>
        <v>0</v>
      </c>
      <c r="I25" s="507">
        <f>_xlfn.IFERROR(VLOOKUP($P25,'Rd4 Sandown'!$C$2:$AC$30,27,0),0)</f>
        <v>0</v>
      </c>
      <c r="J25" s="507">
        <f>_xlfn.IFERROR(VLOOKUP($P25,'Rd5 Winton'!$C$2:$AC$29,27,0),0)</f>
        <v>0</v>
      </c>
      <c r="K25" s="507">
        <f>_xlfn.IFERROR(VLOOKUP($P25,#REF!,27,0),0)</f>
        <v>0</v>
      </c>
      <c r="L25" s="507">
        <f>_xlfn.IFERROR(VLOOKUP($P25,#REF!,27,0),0)</f>
        <v>0</v>
      </c>
      <c r="M25" s="507">
        <f>_xlfn.IFERROR(VLOOKUP($P25,#REF!,27,0),0)</f>
        <v>0</v>
      </c>
      <c r="N25" s="507">
        <f>_xlfn.IFERROR(VLOOKUP($P25,#REF!,27,0),0)</f>
        <v>0</v>
      </c>
      <c r="O25" s="328">
        <f>_xlfn.IFERROR(VLOOKUP($P25,#REF!,27,0),0)</f>
        <v>0</v>
      </c>
      <c r="P25" s="5" t="str">
        <f t="shared" si="1"/>
        <v>gareth pedley</v>
      </c>
    </row>
    <row r="26" spans="1:16" s="5" customFormat="1" ht="12.75">
      <c r="A26" s="524">
        <v>24</v>
      </c>
      <c r="B26" s="159" t="s">
        <v>81</v>
      </c>
      <c r="C26" s="159" t="s">
        <v>146</v>
      </c>
      <c r="D26" s="50" t="s">
        <v>14</v>
      </c>
      <c r="E26" s="595">
        <f t="shared" si="2"/>
        <v>35</v>
      </c>
      <c r="F26" s="164">
        <f>_xlfn.IFERROR(VLOOKUP($P26,'Rd1 PI'!$C$2:$AC$21,27,0),0)</f>
        <v>35</v>
      </c>
      <c r="G26" s="57">
        <f>_xlfn.IFERROR(VLOOKUP($P26,'Rd2 Winton'!$C$2:$AC$24,27,0),0)</f>
        <v>0</v>
      </c>
      <c r="H26" s="57">
        <f>_xlfn.IFERROR(VLOOKUP($P26,'Rd3 Winton IC'!$C$2:$AC$56,27,0),0)</f>
        <v>0</v>
      </c>
      <c r="I26" s="57">
        <f>_xlfn.IFERROR(VLOOKUP($P26,'Rd4 Sandown'!$C$2:$AC$30,27,0),0)</f>
        <v>0</v>
      </c>
      <c r="J26" s="57">
        <f>_xlfn.IFERROR(VLOOKUP($P26,'Rd5 Winton'!$C$2:$AC$29,27,0),0)</f>
        <v>0</v>
      </c>
      <c r="K26" s="57">
        <f>_xlfn.IFERROR(VLOOKUP($P26,#REF!,27,0),0)</f>
        <v>0</v>
      </c>
      <c r="L26" s="57">
        <f>_xlfn.IFERROR(VLOOKUP($P26,#REF!,27,0),0)</f>
        <v>0</v>
      </c>
      <c r="M26" s="57">
        <f>_xlfn.IFERROR(VLOOKUP($P26,#REF!,27,0),0)</f>
        <v>0</v>
      </c>
      <c r="N26" s="57">
        <f>_xlfn.IFERROR(VLOOKUP($P26,#REF!,27,0),0)</f>
        <v>0</v>
      </c>
      <c r="O26" s="327">
        <f>_xlfn.IFERROR(VLOOKUP($P26,#REF!,27,0),0)</f>
        <v>0</v>
      </c>
      <c r="P26" s="5" t="str">
        <f t="shared" si="1"/>
        <v>john vaughan</v>
      </c>
    </row>
    <row r="27" spans="1:16" s="5" customFormat="1" ht="12.75">
      <c r="A27" s="524">
        <v>25</v>
      </c>
      <c r="B27" s="102" t="s">
        <v>431</v>
      </c>
      <c r="C27" s="102" t="s">
        <v>432</v>
      </c>
      <c r="D27" s="36" t="s">
        <v>21</v>
      </c>
      <c r="E27" s="595">
        <f t="shared" si="2"/>
        <v>20</v>
      </c>
      <c r="F27" s="161">
        <f>_xlfn.IFERROR(VLOOKUP($P27,'Rd1 PI'!$C$2:$AC$21,27,0),0)</f>
        <v>0</v>
      </c>
      <c r="G27" s="507">
        <f>_xlfn.IFERROR(VLOOKUP($P27,'Rd2 Winton'!$C$2:$AC$24,27,0),0)</f>
        <v>0</v>
      </c>
      <c r="H27" s="507">
        <f>_xlfn.IFERROR(VLOOKUP($P27,'Rd3 Winton IC'!$C$2:$AC$56,27,0),0)</f>
        <v>0</v>
      </c>
      <c r="I27" s="507">
        <f>_xlfn.IFERROR(VLOOKUP($P27,'Rd4 Sandown'!$C$2:$AC$30,27,0),0)</f>
        <v>20</v>
      </c>
      <c r="J27" s="507">
        <f>_xlfn.IFERROR(VLOOKUP($P27,'Rd5 Winton'!$C$2:$AC$29,27,0),0)</f>
        <v>0</v>
      </c>
      <c r="K27" s="507">
        <f>_xlfn.IFERROR(VLOOKUP($P27,#REF!,27,0),0)</f>
        <v>0</v>
      </c>
      <c r="L27" s="507">
        <f>_xlfn.IFERROR(VLOOKUP($P27,#REF!,27,0),0)</f>
        <v>0</v>
      </c>
      <c r="M27" s="507">
        <f>_xlfn.IFERROR(VLOOKUP($P27,#REF!,27,0),0)</f>
        <v>0</v>
      </c>
      <c r="N27" s="507">
        <f>_xlfn.IFERROR(VLOOKUP($P27,#REF!,27,0),0)</f>
        <v>0</v>
      </c>
      <c r="O27" s="328">
        <f>_xlfn.IFERROR(VLOOKUP($P27,#REF!,27,0),0)</f>
        <v>0</v>
      </c>
      <c r="P27" s="5" t="str">
        <f t="shared" si="1"/>
        <v>murray seymour</v>
      </c>
    </row>
    <row r="28" spans="1:16" s="5" customFormat="1" ht="12.75">
      <c r="A28" s="524">
        <v>25</v>
      </c>
      <c r="B28" s="173" t="s">
        <v>65</v>
      </c>
      <c r="C28" s="173" t="s">
        <v>373</v>
      </c>
      <c r="D28" s="125" t="s">
        <v>16</v>
      </c>
      <c r="E28" s="595">
        <f t="shared" si="2"/>
        <v>20</v>
      </c>
      <c r="F28" s="174">
        <f>_xlfn.IFERROR(VLOOKUP($P28,'Rd1 PI'!$C$2:$AC$21,27,0),0)</f>
        <v>0</v>
      </c>
      <c r="G28" s="125">
        <f>_xlfn.IFERROR(VLOOKUP($P28,'Rd2 Winton'!$C$2:$AC$24,27,0),0)</f>
        <v>0</v>
      </c>
      <c r="H28" s="125">
        <f>_xlfn.IFERROR(VLOOKUP($P28,'Rd3 Winton IC'!$C$2:$AC$56,27,0),0)</f>
        <v>20</v>
      </c>
      <c r="I28" s="125">
        <f>_xlfn.IFERROR(VLOOKUP($P28,'Rd4 Sandown'!$C$2:$AC$30,27,0),0)</f>
        <v>0</v>
      </c>
      <c r="J28" s="125">
        <f>_xlfn.IFERROR(VLOOKUP($P28,'Rd5 Winton'!$C$2:$AC$29,27,0),0)</f>
        <v>0</v>
      </c>
      <c r="K28" s="125">
        <f>_xlfn.IFERROR(VLOOKUP($P28,#REF!,27,0),0)</f>
        <v>0</v>
      </c>
      <c r="L28" s="125">
        <f>_xlfn.IFERROR(VLOOKUP($P28,#REF!,27,0),0)</f>
        <v>0</v>
      </c>
      <c r="M28" s="125">
        <f>_xlfn.IFERROR(VLOOKUP($P28,#REF!,27,0),0)</f>
        <v>0</v>
      </c>
      <c r="N28" s="125">
        <f>_xlfn.IFERROR(VLOOKUP($P28,#REF!,27,0),0)</f>
        <v>0</v>
      </c>
      <c r="O28" s="329">
        <f>_xlfn.IFERROR(VLOOKUP($P28,#REF!,27,0),0)</f>
        <v>0</v>
      </c>
      <c r="P28" s="5" t="str">
        <f t="shared" si="1"/>
        <v>robert parr</v>
      </c>
    </row>
    <row r="29" spans="1:16" s="5" customFormat="1" ht="12.75">
      <c r="A29" s="524">
        <v>27</v>
      </c>
      <c r="B29" s="291" t="s">
        <v>193</v>
      </c>
      <c r="C29" s="291" t="s">
        <v>194</v>
      </c>
      <c r="D29" s="509" t="s">
        <v>4</v>
      </c>
      <c r="E29" s="595">
        <f t="shared" si="2"/>
        <v>10</v>
      </c>
      <c r="F29" s="287">
        <f>_xlfn.IFERROR(VLOOKUP($P29,'Rd1 PI'!$C$2:$AC$21,27,0),0)</f>
        <v>0</v>
      </c>
      <c r="G29" s="509">
        <f>_xlfn.IFERROR(VLOOKUP($P29,'Rd2 Winton'!$C$2:$AC$21,27,0),0)</f>
        <v>5</v>
      </c>
      <c r="H29" s="509">
        <f>_xlfn.IFERROR(VLOOKUP($P29,'Rd3 Winton IC'!$C$2:$AC$56,27,0),0)</f>
        <v>0</v>
      </c>
      <c r="I29" s="509">
        <f>_xlfn.IFERROR(VLOOKUP($P29,'Rd4 Sandown'!$C$2:$AC$30,27,0),0)</f>
        <v>5</v>
      </c>
      <c r="J29" s="509">
        <f>_xlfn.IFERROR(VLOOKUP($P29,'Rd5 Winton'!$C$2:$AC$29,27,0),0)</f>
        <v>0</v>
      </c>
      <c r="K29" s="509">
        <f>_xlfn.IFERROR(VLOOKUP($P29,#REF!,27,0),0)</f>
        <v>0</v>
      </c>
      <c r="L29" s="509">
        <f>_xlfn.IFERROR(VLOOKUP($P29,#REF!,27,0),0)</f>
        <v>0</v>
      </c>
      <c r="M29" s="509">
        <f>_xlfn.IFERROR(VLOOKUP($P29,#REF!,27,0),0)</f>
        <v>0</v>
      </c>
      <c r="N29" s="509">
        <f>_xlfn.IFERROR(VLOOKUP($P29,#REF!,27,0),0)</f>
        <v>0</v>
      </c>
      <c r="O29" s="330">
        <f>_xlfn.IFERROR(VLOOKUP($P29,#REF!,27,0),0)</f>
        <v>0</v>
      </c>
      <c r="P29" s="5" t="str">
        <f t="shared" si="1"/>
        <v>ian vague</v>
      </c>
    </row>
    <row r="30" spans="1:16" s="5" customFormat="1" ht="12.75">
      <c r="A30" s="524">
        <v>28</v>
      </c>
      <c r="B30" s="334" t="s">
        <v>81</v>
      </c>
      <c r="C30" s="334" t="s">
        <v>378</v>
      </c>
      <c r="D30" s="521" t="s">
        <v>51</v>
      </c>
      <c r="E30" s="595">
        <f t="shared" si="2"/>
        <v>5</v>
      </c>
      <c r="F30" s="336">
        <f>_xlfn.IFERROR(VLOOKUP($P30,'Rd1 PI'!$C$2:$AC$21,27,0),0)</f>
        <v>0</v>
      </c>
      <c r="G30" s="518">
        <f>_xlfn.IFERROR(VLOOKUP($P30,'Rd2 Winton'!$C$2:$AC$24,27,0),0)</f>
        <v>0</v>
      </c>
      <c r="H30" s="335">
        <f>_xlfn.IFERROR(VLOOKUP($P30,'Rd3 Winton IC'!$C$2:$AC$56,27,0),0)</f>
        <v>5</v>
      </c>
      <c r="I30" s="335">
        <f>_xlfn.IFERROR(VLOOKUP($P30,'Rd4 Sandown'!$C$2:$AC$30,27,0),0)</f>
        <v>0</v>
      </c>
      <c r="J30" s="335">
        <f>_xlfn.IFERROR(VLOOKUP($P30,'Rd5 Winton'!$C$2:$AC$29,27,0),0)</f>
        <v>0</v>
      </c>
      <c r="K30" s="335">
        <f>_xlfn.IFERROR(VLOOKUP($P30,#REF!,27,0),0)</f>
        <v>0</v>
      </c>
      <c r="L30" s="335">
        <f>_xlfn.IFERROR(VLOOKUP($P30,#REF!,27,0),0)</f>
        <v>0</v>
      </c>
      <c r="M30" s="335">
        <f>_xlfn.IFERROR(VLOOKUP($P30,#REF!,27,0),0)</f>
        <v>0</v>
      </c>
      <c r="N30" s="335">
        <f>_xlfn.IFERROR(VLOOKUP($P30,#REF!,27,0),0)</f>
        <v>0</v>
      </c>
      <c r="O30" s="522">
        <f>_xlfn.IFERROR(VLOOKUP($P30,#REF!,27,0),0)</f>
        <v>0</v>
      </c>
      <c r="P30" s="5" t="str">
        <f t="shared" si="1"/>
        <v>john reid</v>
      </c>
    </row>
    <row r="31" spans="1:16" s="5" customFormat="1" ht="13.5" thickBot="1">
      <c r="A31" s="525">
        <v>28</v>
      </c>
      <c r="B31" s="599" t="s">
        <v>371</v>
      </c>
      <c r="C31" s="599" t="s">
        <v>372</v>
      </c>
      <c r="D31" s="600" t="s">
        <v>13</v>
      </c>
      <c r="E31" s="596">
        <f t="shared" si="2"/>
        <v>5</v>
      </c>
      <c r="F31" s="601">
        <f>_xlfn.IFERROR(VLOOKUP($P31,'Rd1 PI'!$C$2:$AC$21,27,0),0)</f>
        <v>0</v>
      </c>
      <c r="G31" s="598">
        <f>_xlfn.IFERROR(VLOOKUP($P31,'Rd2 Winton'!$C$2:$AC$24,27,0),0)</f>
        <v>0</v>
      </c>
      <c r="H31" s="598">
        <f>_xlfn.IFERROR(VLOOKUP($P31,'Rd3 Winton IC'!$C$2:$AC$56,27,0),0)</f>
        <v>5</v>
      </c>
      <c r="I31" s="598">
        <f>_xlfn.IFERROR(VLOOKUP($P31,'Rd4 Sandown'!$C$2:$AC$30,27,0),0)</f>
        <v>0</v>
      </c>
      <c r="J31" s="598">
        <f>_xlfn.IFERROR(VLOOKUP($P31,'Rd5 Winton'!$C$2:$AC$29,27,0),0)</f>
        <v>0</v>
      </c>
      <c r="K31" s="598">
        <f>_xlfn.IFERROR(VLOOKUP($P31,#REF!,27,0),0)</f>
        <v>0</v>
      </c>
      <c r="L31" s="598">
        <f>_xlfn.IFERROR(VLOOKUP($P31,#REF!,27,0),0)</f>
        <v>0</v>
      </c>
      <c r="M31" s="598">
        <f>_xlfn.IFERROR(VLOOKUP($P31,#REF!,27,0),0)</f>
        <v>0</v>
      </c>
      <c r="N31" s="598">
        <f>_xlfn.IFERROR(VLOOKUP($P31,#REF!,27,0),0)</f>
        <v>0</v>
      </c>
      <c r="O31" s="602">
        <f>_xlfn.IFERROR(VLOOKUP($P31,#REF!,27,0),0)</f>
        <v>0</v>
      </c>
      <c r="P31" s="5" t="str">
        <f t="shared" si="1"/>
        <v>kim cole</v>
      </c>
    </row>
    <row r="32" spans="1:17" ht="12.75">
      <c r="A32" s="3"/>
      <c r="B32" s="9"/>
      <c r="C32" s="9"/>
      <c r="D32" s="12"/>
      <c r="E32" s="12"/>
      <c r="F32" s="5"/>
      <c r="G32" s="5"/>
      <c r="H32" s="5"/>
      <c r="I32" s="5"/>
      <c r="J32" s="5"/>
      <c r="K32" s="5"/>
      <c r="L32" s="5"/>
      <c r="M32" s="5"/>
      <c r="N32" s="5"/>
      <c r="O32" s="5"/>
      <c r="P32" s="14"/>
      <c r="Q32" s="15"/>
    </row>
    <row r="33" spans="1:17" ht="15">
      <c r="A33" s="10" t="s">
        <v>6</v>
      </c>
      <c r="B33" s="6"/>
      <c r="C33" s="6"/>
      <c r="D33" s="17"/>
      <c r="E33" s="24"/>
      <c r="F33" s="12"/>
      <c r="G33" s="12"/>
      <c r="H33" s="12"/>
      <c r="I33" s="12"/>
      <c r="J33" s="12"/>
      <c r="K33" s="12"/>
      <c r="L33" s="12"/>
      <c r="M33" s="12"/>
      <c r="N33" s="12"/>
      <c r="O33" s="12"/>
      <c r="P33" s="14"/>
      <c r="Q33" s="15"/>
    </row>
    <row r="34" spans="1:17" ht="12.75">
      <c r="A34" s="16"/>
      <c r="B34" s="6"/>
      <c r="C34" s="6"/>
      <c r="D34" s="17"/>
      <c r="E34" s="24"/>
      <c r="F34" s="12"/>
      <c r="G34" s="12"/>
      <c r="H34" s="12"/>
      <c r="I34" s="12"/>
      <c r="J34" s="12"/>
      <c r="K34" s="12"/>
      <c r="L34" s="12"/>
      <c r="M34" s="12"/>
      <c r="N34" s="12"/>
      <c r="O34" s="12"/>
      <c r="P34" s="14"/>
      <c r="Q34" s="15"/>
    </row>
    <row r="35" spans="1:15" s="5" customFormat="1" ht="13.5" thickBot="1">
      <c r="A35" s="76" t="s">
        <v>7</v>
      </c>
      <c r="B35" s="77"/>
      <c r="C35" s="77"/>
      <c r="D35" s="7"/>
      <c r="E35" s="24"/>
      <c r="F35" s="12"/>
      <c r="G35" s="12"/>
      <c r="H35" s="12"/>
      <c r="I35" s="12"/>
      <c r="J35" s="12"/>
      <c r="K35" s="12"/>
      <c r="L35" s="12"/>
      <c r="M35" s="12"/>
      <c r="N35" s="12"/>
      <c r="O35" s="12"/>
    </row>
    <row r="36" spans="1:16" s="5" customFormat="1" ht="12.75">
      <c r="A36" s="78">
        <v>1</v>
      </c>
      <c r="B36" s="369" t="s">
        <v>195</v>
      </c>
      <c r="C36" s="369" t="s">
        <v>196</v>
      </c>
      <c r="D36" s="81" t="s">
        <v>3</v>
      </c>
      <c r="E36" s="84">
        <f>SUM(F36:O36)-SMALL(F36:O36,2)-MIN(F36:O36)</f>
        <v>400</v>
      </c>
      <c r="F36" s="289">
        <f>_xlfn.IFERROR(VLOOKUP($P36,'Rd1 PI'!$C$2:$AC$21,17,0),0)</f>
        <v>0</v>
      </c>
      <c r="G36" s="75">
        <f>_xlfn.IFERROR(VLOOKUP($P36,'Rd2 Winton'!$C$2:$AC$24,17,0),0)</f>
        <v>100</v>
      </c>
      <c r="H36" s="75">
        <f>_xlfn.IFERROR(VLOOKUP($P36,'Rd3 Winton IC'!$C$2:$AC$56,17,0),0)</f>
        <v>100</v>
      </c>
      <c r="I36" s="511">
        <f>_xlfn.IFERROR(VLOOKUP($P36,'Rd4 Sandown'!$C$2:$AC$30,17,0),0)</f>
        <v>100</v>
      </c>
      <c r="J36" s="511">
        <f>_xlfn.IFERROR(VLOOKUP($P36,'Rd5 Winton'!$C$2:$AC$29,17,0),0)</f>
        <v>100</v>
      </c>
      <c r="K36" s="75">
        <f>_xlfn.IFERROR(VLOOKUP($P36,#REF!,17,0),0)</f>
        <v>0</v>
      </c>
      <c r="L36" s="75">
        <f>_xlfn.IFERROR(VLOOKUP($P36,#REF!,17,0),0)</f>
        <v>0</v>
      </c>
      <c r="M36" s="75">
        <f>_xlfn.IFERROR(VLOOKUP($P36,#REF!,17,0),0)</f>
        <v>0</v>
      </c>
      <c r="N36" s="75">
        <f>_xlfn.IFERROR(VLOOKUP($P36,#REF!,17,0),0)</f>
        <v>0</v>
      </c>
      <c r="O36" s="75">
        <f>_xlfn.IFERROR(VLOOKUP($P36,#REF!,17,0),0)</f>
        <v>0</v>
      </c>
      <c r="P36" s="5" t="str">
        <f>CONCATENATE(LOWER(B36)," ",LOWER(C36))</f>
        <v>kutay dal</v>
      </c>
    </row>
    <row r="37" spans="1:16" s="5" customFormat="1" ht="12.75">
      <c r="A37" s="78">
        <v>2</v>
      </c>
      <c r="B37" s="369" t="s">
        <v>368</v>
      </c>
      <c r="C37" s="369" t="s">
        <v>369</v>
      </c>
      <c r="D37" s="81" t="s">
        <v>3</v>
      </c>
      <c r="E37" s="85">
        <f>SUM(F37:O37)-SMALL(F37:O37,2)-MIN(F37:O37)</f>
        <v>75</v>
      </c>
      <c r="F37" s="289">
        <f>_xlfn.IFERROR(VLOOKUP($P37,'Rd1 PI'!$C$2:$AC$21,17,0),0)</f>
        <v>0</v>
      </c>
      <c r="G37" s="75">
        <f>_xlfn.IFERROR(VLOOKUP($P37,'Rd2 Winton'!$C$2:$AC$24,17,0),0)</f>
        <v>0</v>
      </c>
      <c r="H37" s="511">
        <f>_xlfn.IFERROR(VLOOKUP($P37,'Rd3 Winton IC'!$C$2:$AC$56,17,0),0)</f>
        <v>75</v>
      </c>
      <c r="I37" s="511">
        <f>_xlfn.IFERROR(VLOOKUP($P37,'Rd4 Sandown'!$C$2:$AC$30,17,0),0)</f>
        <v>0</v>
      </c>
      <c r="J37" s="511">
        <f>_xlfn.IFERROR(VLOOKUP($P37,'Rd5 Winton'!$C$2:$AC$29,17,0),0)</f>
        <v>0</v>
      </c>
      <c r="K37" s="75">
        <f>_xlfn.IFERROR(VLOOKUP($P37,#REF!,17,0),0)</f>
        <v>0</v>
      </c>
      <c r="L37" s="75">
        <f>_xlfn.IFERROR(VLOOKUP($P37,#REF!,17,0),0)</f>
        <v>0</v>
      </c>
      <c r="M37" s="75">
        <f>_xlfn.IFERROR(VLOOKUP($P37,#REF!,17,0),0)</f>
        <v>0</v>
      </c>
      <c r="N37" s="75">
        <f>_xlfn.IFERROR(VLOOKUP($P37,#REF!,17,0),0)</f>
        <v>0</v>
      </c>
      <c r="O37" s="75">
        <f>_xlfn.IFERROR(VLOOKUP($P37,#REF!,17,0),0)</f>
        <v>0</v>
      </c>
      <c r="P37" s="5" t="str">
        <f>CONCATENATE(LOWER(B37)," ",LOWER(C37))</f>
        <v>daryl ervine</v>
      </c>
    </row>
    <row r="38" spans="1:16" s="5" customFormat="1" ht="12.75">
      <c r="A38" s="78">
        <v>3</v>
      </c>
      <c r="B38" s="79"/>
      <c r="C38" s="79"/>
      <c r="D38" s="81" t="s">
        <v>3</v>
      </c>
      <c r="E38" s="85">
        <f>SUM(F38:O38)-SMALL(F38:O38,2)-MIN(F38:O38)</f>
        <v>0</v>
      </c>
      <c r="F38" s="289">
        <f>_xlfn.IFERROR(VLOOKUP($P38,'Rd1 PI'!$C$2:$AC$21,17,0),0)</f>
        <v>0</v>
      </c>
      <c r="G38" s="75">
        <f>_xlfn.IFERROR(VLOOKUP($P38,'Rd2 Winton'!$C$2:$AC$24,17,0),0)</f>
        <v>0</v>
      </c>
      <c r="H38" s="511">
        <f>_xlfn.IFERROR(VLOOKUP($P38,'Rd3 Winton IC'!$C$2:$AC$56,17,0),0)</f>
        <v>0</v>
      </c>
      <c r="I38" s="511">
        <f>_xlfn.IFERROR(VLOOKUP($P38,'Rd4 Sandown'!$C$2:$AC$30,17,0),0)</f>
        <v>0</v>
      </c>
      <c r="J38" s="511">
        <f>_xlfn.IFERROR(VLOOKUP($P38,'Rd5 Winton'!$C$2:$AC$29,17,0),0)</f>
        <v>0</v>
      </c>
      <c r="K38" s="75">
        <f>_xlfn.IFERROR(VLOOKUP($P38,#REF!,17,0),0)</f>
        <v>0</v>
      </c>
      <c r="L38" s="75">
        <f>_xlfn.IFERROR(VLOOKUP($P38,#REF!,17,0),0)</f>
        <v>0</v>
      </c>
      <c r="M38" s="75">
        <f>_xlfn.IFERROR(VLOOKUP($P38,#REF!,17,0),0)</f>
        <v>0</v>
      </c>
      <c r="N38" s="75">
        <f>_xlfn.IFERROR(VLOOKUP($P38,#REF!,17,0),0)</f>
        <v>0</v>
      </c>
      <c r="O38" s="75">
        <f>_xlfn.IFERROR(VLOOKUP($P38,#REF!,17,0),0)</f>
        <v>0</v>
      </c>
      <c r="P38" s="5" t="str">
        <f>CONCATENATE(LOWER(B38)," ",LOWER(C38))</f>
        <v> </v>
      </c>
    </row>
    <row r="39" spans="1:17" ht="12.75">
      <c r="A39" s="78">
        <v>4</v>
      </c>
      <c r="B39" s="79"/>
      <c r="C39" s="79"/>
      <c r="D39" s="81" t="s">
        <v>3</v>
      </c>
      <c r="E39" s="85">
        <f>SUM(F39:O39)-SMALL(F39:O39,2)-MIN(F39:O39)</f>
        <v>0</v>
      </c>
      <c r="F39" s="289">
        <f>_xlfn.IFERROR(VLOOKUP($P39,'Rd1 PI'!$C$2:$AC$21,17,0),0)</f>
        <v>0</v>
      </c>
      <c r="G39" s="75">
        <f>_xlfn.IFERROR(VLOOKUP($P39,'Rd2 Winton'!$C$2:$AC$24,17,0),0)</f>
        <v>0</v>
      </c>
      <c r="H39" s="511">
        <f>_xlfn.IFERROR(VLOOKUP($P39,'Rd3 Winton IC'!$C$2:$AC$56,17,0),0)</f>
        <v>0</v>
      </c>
      <c r="I39" s="511">
        <f>_xlfn.IFERROR(VLOOKUP($P39,'Rd4 Sandown'!$C$2:$AC$30,17,0),0)</f>
        <v>0</v>
      </c>
      <c r="J39" s="511">
        <f>_xlfn.IFERROR(VLOOKUP($P39,'Rd5 Winton'!$C$2:$AC$29,17,0),0)</f>
        <v>0</v>
      </c>
      <c r="K39" s="75">
        <f>_xlfn.IFERROR(VLOOKUP($P39,#REF!,17,0),0)</f>
        <v>0</v>
      </c>
      <c r="L39" s="75">
        <f>_xlfn.IFERROR(VLOOKUP($P39,#REF!,17,0),0)</f>
        <v>0</v>
      </c>
      <c r="M39" s="75">
        <f>_xlfn.IFERROR(VLOOKUP($P39,#REF!,17,0),0)</f>
        <v>0</v>
      </c>
      <c r="N39" s="75">
        <f>_xlfn.IFERROR(VLOOKUP($P39,#REF!,17,0),0)</f>
        <v>0</v>
      </c>
      <c r="O39" s="75">
        <f>_xlfn.IFERROR(VLOOKUP($P39,#REF!,17,0),0)</f>
        <v>0</v>
      </c>
      <c r="P39" s="5" t="str">
        <f>CONCATENATE(LOWER(B39)," ",LOWER(C39))</f>
        <v> </v>
      </c>
      <c r="Q39" s="15"/>
    </row>
    <row r="40" spans="1:17" ht="13.5" thickBot="1">
      <c r="A40" s="80">
        <v>5</v>
      </c>
      <c r="B40" s="74"/>
      <c r="C40" s="74"/>
      <c r="D40" s="81" t="s">
        <v>3</v>
      </c>
      <c r="E40" s="86">
        <f>SUM(F40:O40)-SMALL(F40:O40,2)-MIN(F40:O40)</f>
        <v>0</v>
      </c>
      <c r="F40" s="289">
        <f>_xlfn.IFERROR(VLOOKUP($P40,'Rd1 PI'!$C$2:$AC$21,17,0),0)</f>
        <v>0</v>
      </c>
      <c r="G40" s="75">
        <f>_xlfn.IFERROR(VLOOKUP($P40,'Rd2 Winton'!$C$2:$AC$24,17,0),0)</f>
        <v>0</v>
      </c>
      <c r="H40" s="511">
        <f>_xlfn.IFERROR(VLOOKUP($P40,'Rd3 Winton IC'!$C$2:$AC$56,17,0),0)</f>
        <v>0</v>
      </c>
      <c r="I40" s="511">
        <f>_xlfn.IFERROR(VLOOKUP($P40,'Rd4 Sandown'!$C$2:$AC$30,17,0),0)</f>
        <v>0</v>
      </c>
      <c r="J40" s="511">
        <f>_xlfn.IFERROR(VLOOKUP($P40,'Rd5 Winton'!$C$2:$AC$29,17,0),0)</f>
        <v>0</v>
      </c>
      <c r="K40" s="75">
        <f>_xlfn.IFERROR(VLOOKUP($P40,#REF!,17,0),0)</f>
        <v>0</v>
      </c>
      <c r="L40" s="75">
        <f>_xlfn.IFERROR(VLOOKUP($P40,#REF!,17,0),0)</f>
        <v>0</v>
      </c>
      <c r="M40" s="75">
        <f>_xlfn.IFERROR(VLOOKUP($P40,#REF!,17,0),0)</f>
        <v>0</v>
      </c>
      <c r="N40" s="75">
        <f>_xlfn.IFERROR(VLOOKUP($P40,#REF!,17,0),0)</f>
        <v>0</v>
      </c>
      <c r="O40" s="75">
        <f>_xlfn.IFERROR(VLOOKUP($P40,#REF!,17,0),0)</f>
        <v>0</v>
      </c>
      <c r="P40" s="5" t="str">
        <f>CONCATENATE(LOWER(B40)," ",LOWER(C40))</f>
        <v> </v>
      </c>
      <c r="Q40" s="15"/>
    </row>
    <row r="41" spans="2:17" ht="12.75">
      <c r="B41" s="6"/>
      <c r="C41" s="6"/>
      <c r="D41" s="17"/>
      <c r="E41" s="24"/>
      <c r="F41" s="4"/>
      <c r="G41" s="4"/>
      <c r="H41" s="4"/>
      <c r="I41" s="4"/>
      <c r="J41" s="12"/>
      <c r="K41" s="12"/>
      <c r="L41" s="4"/>
      <c r="M41" s="4"/>
      <c r="N41" s="4"/>
      <c r="O41" s="4"/>
      <c r="P41" s="14"/>
      <c r="Q41" s="15"/>
    </row>
    <row r="42" spans="1:15" s="5" customFormat="1" ht="13.5" thickBot="1">
      <c r="A42" s="53" t="s">
        <v>8</v>
      </c>
      <c r="B42" s="54"/>
      <c r="C42" s="54"/>
      <c r="D42" s="7"/>
      <c r="E42" s="24"/>
      <c r="F42" s="4"/>
      <c r="G42" s="4"/>
      <c r="H42" s="4"/>
      <c r="I42" s="4"/>
      <c r="J42" s="12"/>
      <c r="K42" s="12"/>
      <c r="L42" s="4"/>
      <c r="M42" s="4"/>
      <c r="N42" s="4"/>
      <c r="O42" s="4"/>
    </row>
    <row r="43" spans="1:16" s="5" customFormat="1" ht="12.75">
      <c r="A43" s="55">
        <v>1</v>
      </c>
      <c r="B43" s="56" t="s">
        <v>57</v>
      </c>
      <c r="C43" s="56" t="s">
        <v>58</v>
      </c>
      <c r="D43" s="52" t="s">
        <v>5</v>
      </c>
      <c r="E43" s="87">
        <f aca="true" t="shared" si="3" ref="E43:E49">SUM(F43:O43)-SMALL(F43:O43,2)-MIN(F43:O43)</f>
        <v>475</v>
      </c>
      <c r="F43" s="165">
        <f>_xlfn.IFERROR(VLOOKUP($P43,'Rd1 PI'!$C$2:$AC$21,17,0),0)</f>
        <v>100</v>
      </c>
      <c r="G43" s="51">
        <f>_xlfn.IFERROR(VLOOKUP($P43,'Rd2 Winton'!$C$2:$AC$24,17,0),0)</f>
        <v>100</v>
      </c>
      <c r="H43" s="510">
        <f>_xlfn.IFERROR(VLOOKUP($P43,'Rd3 Winton IC'!$C$2:$AC$56,17,0),0)</f>
        <v>100</v>
      </c>
      <c r="I43" s="510">
        <f>_xlfn.IFERROR(VLOOKUP($P43,'Rd4 Sandown'!$C$2:$AC$30,17,0),0)</f>
        <v>75</v>
      </c>
      <c r="J43" s="510">
        <f>_xlfn.IFERROR(VLOOKUP($P43,'Rd5 Winton'!$C$2:$AC$29,17,0),0)</f>
        <v>100</v>
      </c>
      <c r="K43" s="51">
        <f>_xlfn.IFERROR(VLOOKUP($P43,#REF!,17,0),0)</f>
        <v>0</v>
      </c>
      <c r="L43" s="51">
        <f>_xlfn.IFERROR(VLOOKUP($P43,#REF!,17,0),0)</f>
        <v>0</v>
      </c>
      <c r="M43" s="51">
        <f>_xlfn.IFERROR(VLOOKUP($P43,#REF!,17,0),0)</f>
        <v>0</v>
      </c>
      <c r="N43" s="51">
        <f>_xlfn.IFERROR(VLOOKUP($P43,#REF!,17,0),0)</f>
        <v>0</v>
      </c>
      <c r="O43" s="51">
        <f>_xlfn.IFERROR(VLOOKUP($P43,#REF!,17,0),0)</f>
        <v>0</v>
      </c>
      <c r="P43" s="5" t="str">
        <f aca="true" t="shared" si="4" ref="P43:P49">CONCATENATE(LOWER(B43)," ",LOWER(C43))</f>
        <v>steve williamsz</v>
      </c>
    </row>
    <row r="44" spans="1:17" ht="12.75">
      <c r="A44" s="55">
        <v>2</v>
      </c>
      <c r="B44" s="56" t="s">
        <v>33</v>
      </c>
      <c r="C44" s="56" t="s">
        <v>34</v>
      </c>
      <c r="D44" s="52" t="s">
        <v>5</v>
      </c>
      <c r="E44" s="88">
        <f t="shared" si="3"/>
        <v>370</v>
      </c>
      <c r="F44" s="165">
        <f>_xlfn.IFERROR(VLOOKUP($P44,'Rd1 PI'!$C$2:$AC$21,17,0),0)</f>
        <v>60</v>
      </c>
      <c r="G44" s="51">
        <f>_xlfn.IFERROR(VLOOKUP($P44,'Rd2 Winton'!$C$2:$AC$24,17,0),0)</f>
        <v>75</v>
      </c>
      <c r="H44" s="510">
        <f>_xlfn.IFERROR(VLOOKUP($P44,'Rd3 Winton IC'!$C$2:$AC$56,17,0),0)</f>
        <v>60</v>
      </c>
      <c r="I44" s="510">
        <f>_xlfn.IFERROR(VLOOKUP($P44,'Rd4 Sandown'!$C$2:$AC$30,17,0),0)</f>
        <v>100</v>
      </c>
      <c r="J44" s="510">
        <f>_xlfn.IFERROR(VLOOKUP($P44,'Rd5 Winton'!$C$2:$AC$29,17,0),0)</f>
        <v>75</v>
      </c>
      <c r="K44" s="51">
        <f>_xlfn.IFERROR(VLOOKUP($P44,#REF!,17,0),0)</f>
        <v>0</v>
      </c>
      <c r="L44" s="51">
        <f>_xlfn.IFERROR(VLOOKUP($P44,#REF!,17,0),0)</f>
        <v>0</v>
      </c>
      <c r="M44" s="51">
        <f>_xlfn.IFERROR(VLOOKUP($P44,#REF!,17,0),0)</f>
        <v>0</v>
      </c>
      <c r="N44" s="51">
        <f>_xlfn.IFERROR(VLOOKUP($P44,#REF!,17,0),0)</f>
        <v>0</v>
      </c>
      <c r="O44" s="51">
        <f>_xlfn.IFERROR(VLOOKUP($P44,#REF!,17,0),0)</f>
        <v>0</v>
      </c>
      <c r="P44" s="5" t="str">
        <f t="shared" si="4"/>
        <v>simeon ouzas</v>
      </c>
      <c r="Q44" s="15"/>
    </row>
    <row r="45" spans="1:17" ht="12.75">
      <c r="A45" s="55">
        <v>3</v>
      </c>
      <c r="B45" s="56" t="s">
        <v>81</v>
      </c>
      <c r="C45" s="56" t="s">
        <v>66</v>
      </c>
      <c r="D45" s="52" t="s">
        <v>5</v>
      </c>
      <c r="E45" s="88">
        <f t="shared" si="3"/>
        <v>330</v>
      </c>
      <c r="F45" s="165">
        <f>_xlfn.IFERROR(VLOOKUP($P45,'Rd1 PI'!$C$2:$AC$21,17,0),0)</f>
        <v>75</v>
      </c>
      <c r="G45" s="51">
        <f>_xlfn.IFERROR(VLOOKUP($P45,'Rd2 Winton'!$C$2:$AC$24,17,0),0)</f>
        <v>60</v>
      </c>
      <c r="H45" s="510">
        <f>_xlfn.IFERROR(VLOOKUP($P45,'Rd3 Winton IC'!$C$2:$AC$56,17,0),0)</f>
        <v>75</v>
      </c>
      <c r="I45" s="510">
        <f>_xlfn.IFERROR(VLOOKUP($P45,'Rd4 Sandown'!$C$2:$AC$30,17,0),0)</f>
        <v>60</v>
      </c>
      <c r="J45" s="510">
        <f>_xlfn.IFERROR(VLOOKUP($P45,'Rd5 Winton'!$C$2:$AC$29,17,0),0)</f>
        <v>60</v>
      </c>
      <c r="K45" s="51">
        <f>_xlfn.IFERROR(VLOOKUP($P45,#REF!,17,0),0)</f>
        <v>0</v>
      </c>
      <c r="L45" s="51">
        <f>_xlfn.IFERROR(VLOOKUP($P45,#REF!,17,0),0)</f>
        <v>0</v>
      </c>
      <c r="M45" s="51">
        <f>_xlfn.IFERROR(VLOOKUP($P45,#REF!,17,0),0)</f>
        <v>0</v>
      </c>
      <c r="N45" s="51">
        <f>_xlfn.IFERROR(VLOOKUP($P45,#REF!,17,0),0)</f>
        <v>0</v>
      </c>
      <c r="O45" s="51">
        <f>_xlfn.IFERROR(VLOOKUP($P45,#REF!,17,0),0)</f>
        <v>0</v>
      </c>
      <c r="P45" s="5" t="str">
        <f t="shared" si="4"/>
        <v>john downes</v>
      </c>
      <c r="Q45" s="15"/>
    </row>
    <row r="46" spans="1:17" ht="12.75">
      <c r="A46" s="55">
        <v>4</v>
      </c>
      <c r="B46" s="56" t="s">
        <v>147</v>
      </c>
      <c r="C46" s="56" t="s">
        <v>148</v>
      </c>
      <c r="D46" s="52" t="s">
        <v>5</v>
      </c>
      <c r="E46" s="88">
        <f t="shared" si="3"/>
        <v>135</v>
      </c>
      <c r="F46" s="165">
        <f>_xlfn.IFERROR(VLOOKUP($P46,'Rd1 PI'!$C$2:$AC$21,17,0),0)</f>
        <v>45</v>
      </c>
      <c r="G46" s="51">
        <f>_xlfn.IFERROR(VLOOKUP($P46,'Rd2 Winton'!$C$2:$AC$24,17,0),0)</f>
        <v>45</v>
      </c>
      <c r="H46" s="510">
        <f>_xlfn.IFERROR(VLOOKUP($P46,'Rd3 Winton IC'!$C$2:$AC$56,17,0),0)</f>
        <v>0</v>
      </c>
      <c r="I46" s="510">
        <f>_xlfn.IFERROR(VLOOKUP($P46,'Rd4 Sandown'!$C$2:$AC$30,17,0),0)</f>
        <v>45</v>
      </c>
      <c r="J46" s="510">
        <f>_xlfn.IFERROR(VLOOKUP($P46,'Rd5 Winton'!$C$2:$AC$29,17,0),0)</f>
        <v>0</v>
      </c>
      <c r="K46" s="51">
        <f>_xlfn.IFERROR(VLOOKUP($P46,#REF!,17,0),0)</f>
        <v>0</v>
      </c>
      <c r="L46" s="51">
        <f>_xlfn.IFERROR(VLOOKUP($P46,#REF!,17,0),0)</f>
        <v>0</v>
      </c>
      <c r="M46" s="51">
        <f>_xlfn.IFERROR(VLOOKUP($P46,#REF!,17,0),0)</f>
        <v>0</v>
      </c>
      <c r="N46" s="51">
        <f>_xlfn.IFERROR(VLOOKUP($P46,#REF!,17,0),0)</f>
        <v>0</v>
      </c>
      <c r="O46" s="51">
        <f>_xlfn.IFERROR(VLOOKUP($P46,#REF!,17,0),0)</f>
        <v>0</v>
      </c>
      <c r="P46" s="5" t="str">
        <f t="shared" si="4"/>
        <v>matthew cavell</v>
      </c>
      <c r="Q46" s="15"/>
    </row>
    <row r="47" spans="1:17" ht="12.75">
      <c r="A47" s="55">
        <v>5</v>
      </c>
      <c r="B47" s="56"/>
      <c r="C47" s="56"/>
      <c r="D47" s="52" t="s">
        <v>5</v>
      </c>
      <c r="E47" s="88">
        <f t="shared" si="3"/>
        <v>0</v>
      </c>
      <c r="F47" s="165">
        <f>_xlfn.IFERROR(VLOOKUP($P47,'Rd1 PI'!$C$2:$AC$21,17,0),0)</f>
        <v>0</v>
      </c>
      <c r="G47" s="51">
        <f>_xlfn.IFERROR(VLOOKUP($P47,'Rd2 Winton'!$C$2:$AC$24,17,0),0)</f>
        <v>0</v>
      </c>
      <c r="H47" s="510">
        <f>_xlfn.IFERROR(VLOOKUP($P47,'Rd3 Winton IC'!$C$2:$AC$56,17,0),0)</f>
        <v>0</v>
      </c>
      <c r="I47" s="510">
        <f>_xlfn.IFERROR(VLOOKUP($P47,'Rd4 Sandown'!$C$2:$AC$30,17,0),0)</f>
        <v>0</v>
      </c>
      <c r="J47" s="510">
        <f>_xlfn.IFERROR(VLOOKUP($P47,'Rd5 Winton'!$C$2:$AC$29,17,0),0)</f>
        <v>0</v>
      </c>
      <c r="K47" s="51">
        <f>_xlfn.IFERROR(VLOOKUP($P47,#REF!,17,0),0)</f>
        <v>0</v>
      </c>
      <c r="L47" s="51">
        <f>_xlfn.IFERROR(VLOOKUP($P47,#REF!,17,0),0)</f>
        <v>0</v>
      </c>
      <c r="M47" s="51">
        <f>_xlfn.IFERROR(VLOOKUP($P47,#REF!,17,0),0)</f>
        <v>0</v>
      </c>
      <c r="N47" s="51">
        <f>_xlfn.IFERROR(VLOOKUP($P47,#REF!,17,0),0)</f>
        <v>0</v>
      </c>
      <c r="O47" s="51">
        <f>_xlfn.IFERROR(VLOOKUP($P47,#REF!,17,0),0)</f>
        <v>0</v>
      </c>
      <c r="P47" s="5" t="str">
        <f t="shared" si="4"/>
        <v> </v>
      </c>
      <c r="Q47" s="15"/>
    </row>
    <row r="48" spans="1:17" ht="12.75">
      <c r="A48" s="55">
        <v>6</v>
      </c>
      <c r="B48" s="56"/>
      <c r="C48" s="56"/>
      <c r="D48" s="52" t="s">
        <v>5</v>
      </c>
      <c r="E48" s="88">
        <f t="shared" si="3"/>
        <v>0</v>
      </c>
      <c r="F48" s="165">
        <f>_xlfn.IFERROR(VLOOKUP($P48,'Rd1 PI'!$C$2:$AC$21,17,0),0)</f>
        <v>0</v>
      </c>
      <c r="G48" s="51">
        <f>_xlfn.IFERROR(VLOOKUP($P48,'Rd2 Winton'!$C$2:$AC$24,17,0),0)</f>
        <v>0</v>
      </c>
      <c r="H48" s="510">
        <f>_xlfn.IFERROR(VLOOKUP($P48,'Rd3 Winton IC'!$C$2:$AC$56,17,0),0)</f>
        <v>0</v>
      </c>
      <c r="I48" s="510">
        <f>_xlfn.IFERROR(VLOOKUP($P48,'Rd4 Sandown'!$C$2:$AC$30,17,0),0)</f>
        <v>0</v>
      </c>
      <c r="J48" s="510">
        <f>_xlfn.IFERROR(VLOOKUP($P48,'Rd5 Winton'!$C$2:$AC$29,17,0),0)</f>
        <v>0</v>
      </c>
      <c r="K48" s="51">
        <f>_xlfn.IFERROR(VLOOKUP($P48,#REF!,17,0),0)</f>
        <v>0</v>
      </c>
      <c r="L48" s="51">
        <f>_xlfn.IFERROR(VLOOKUP($P48,#REF!,17,0),0)</f>
        <v>0</v>
      </c>
      <c r="M48" s="51">
        <f>_xlfn.IFERROR(VLOOKUP($P48,#REF!,17,0),0)</f>
        <v>0</v>
      </c>
      <c r="N48" s="51">
        <f>_xlfn.IFERROR(VLOOKUP($P48,#REF!,17,0),0)</f>
        <v>0</v>
      </c>
      <c r="O48" s="51">
        <f>_xlfn.IFERROR(VLOOKUP($P48,#REF!,17,0),0)</f>
        <v>0</v>
      </c>
      <c r="P48" s="5" t="str">
        <f t="shared" si="4"/>
        <v> </v>
      </c>
      <c r="Q48" s="15"/>
    </row>
    <row r="49" spans="1:17" ht="13.5" thickBot="1">
      <c r="A49" s="55">
        <v>7</v>
      </c>
      <c r="B49" s="56"/>
      <c r="C49" s="56"/>
      <c r="D49" s="52" t="s">
        <v>5</v>
      </c>
      <c r="E49" s="89">
        <f t="shared" si="3"/>
        <v>0</v>
      </c>
      <c r="F49" s="165">
        <f>_xlfn.IFERROR(VLOOKUP($P49,'Rd1 PI'!$C$2:$AC$21,17,0),0)</f>
        <v>0</v>
      </c>
      <c r="G49" s="51">
        <f>_xlfn.IFERROR(VLOOKUP($P49,'Rd2 Winton'!$C$2:$AC$24,17,0),0)</f>
        <v>0</v>
      </c>
      <c r="H49" s="510">
        <f>_xlfn.IFERROR(VLOOKUP($P49,'Rd3 Winton IC'!$C$2:$AC$56,17,0),0)</f>
        <v>0</v>
      </c>
      <c r="I49" s="510">
        <f>_xlfn.IFERROR(VLOOKUP($P49,'Rd4 Sandown'!$C$2:$AC$30,17,0),0)</f>
        <v>0</v>
      </c>
      <c r="J49" s="510">
        <f>_xlfn.IFERROR(VLOOKUP($P49,'Rd5 Winton'!$C$2:$AC$29,17,0),0)</f>
        <v>0</v>
      </c>
      <c r="K49" s="51">
        <f>_xlfn.IFERROR(VLOOKUP($P49,#REF!,17,0),0)</f>
        <v>0</v>
      </c>
      <c r="L49" s="51">
        <f>_xlfn.IFERROR(VLOOKUP($P49,#REF!,17,0),0)</f>
        <v>0</v>
      </c>
      <c r="M49" s="51">
        <f>_xlfn.IFERROR(VLOOKUP($P49,#REF!,17,0),0)</f>
        <v>0</v>
      </c>
      <c r="N49" s="51">
        <f>_xlfn.IFERROR(VLOOKUP($P49,#REF!,17,0),0)</f>
        <v>0</v>
      </c>
      <c r="O49" s="51">
        <f>_xlfn.IFERROR(VLOOKUP($P49,#REF!,17,0),0)</f>
        <v>0</v>
      </c>
      <c r="P49" s="5" t="str">
        <f t="shared" si="4"/>
        <v> </v>
      </c>
      <c r="Q49" s="15"/>
    </row>
    <row r="50" spans="2:17" ht="12.75">
      <c r="B50" s="18"/>
      <c r="C50" s="18"/>
      <c r="D50" s="19"/>
      <c r="E50" s="24"/>
      <c r="F50" s="4"/>
      <c r="G50" s="4"/>
      <c r="H50" s="4"/>
      <c r="I50" s="4"/>
      <c r="J50" s="4"/>
      <c r="K50" s="4"/>
      <c r="L50" s="4"/>
      <c r="M50" s="4"/>
      <c r="N50" s="4"/>
      <c r="O50" s="4"/>
      <c r="P50" s="14"/>
      <c r="Q50" s="15"/>
    </row>
    <row r="51" spans="1:17" ht="13.5" thickBot="1">
      <c r="A51" s="150" t="s">
        <v>9</v>
      </c>
      <c r="B51" s="151"/>
      <c r="C51" s="151"/>
      <c r="D51" s="15"/>
      <c r="E51" s="24"/>
      <c r="F51" s="4"/>
      <c r="G51" s="4"/>
      <c r="H51" s="4"/>
      <c r="I51" s="4"/>
      <c r="J51" s="4"/>
      <c r="K51" s="4"/>
      <c r="L51" s="4"/>
      <c r="M51" s="4"/>
      <c r="N51" s="4"/>
      <c r="O51" s="4"/>
      <c r="P51" s="14"/>
      <c r="Q51" s="15"/>
    </row>
    <row r="52" spans="1:17" ht="12.75">
      <c r="A52" s="141">
        <v>1</v>
      </c>
      <c r="B52" s="142" t="s">
        <v>65</v>
      </c>
      <c r="C52" s="291" t="s">
        <v>66</v>
      </c>
      <c r="D52" s="146" t="s">
        <v>4</v>
      </c>
      <c r="E52" s="138">
        <f>SUM(F52:O52)-SMALL(F52:O52,2)-MIN(F52:O52)</f>
        <v>375</v>
      </c>
      <c r="F52" s="287">
        <f>_xlfn.IFERROR(VLOOKUP($P52,'Rd1 PI'!$C$2:$AC$21,17,0),0)</f>
        <v>100</v>
      </c>
      <c r="G52" s="139">
        <f>_xlfn.IFERROR(VLOOKUP($P52,'Rd2 Winton'!$C$2:$AC$24,17,0),0)</f>
        <v>100</v>
      </c>
      <c r="H52" s="509">
        <f>_xlfn.IFERROR(VLOOKUP($P52,'Rd3 Winton IC'!$C$2:$AC$56,17,0),0)</f>
        <v>100</v>
      </c>
      <c r="I52" s="509">
        <f>_xlfn.IFERROR(VLOOKUP($P52,'Rd4 Sandown'!$C$2:$AC$30,17,0),0)</f>
        <v>75</v>
      </c>
      <c r="J52" s="509">
        <f>_xlfn.IFERROR(VLOOKUP($P52,'Rd5 Winton'!$C$2:$AC$29,17,0),0)</f>
        <v>0</v>
      </c>
      <c r="K52" s="139">
        <f>_xlfn.IFERROR(VLOOKUP($P52,#REF!,17,0),0)</f>
        <v>0</v>
      </c>
      <c r="L52" s="139">
        <f>_xlfn.IFERROR(VLOOKUP($P52,#REF!,17,0),0)</f>
        <v>0</v>
      </c>
      <c r="M52" s="139">
        <f>_xlfn.IFERROR(VLOOKUP($P52,#REF!,17,0),0)</f>
        <v>0</v>
      </c>
      <c r="N52" s="139">
        <f>_xlfn.IFERROR(VLOOKUP($P52,#REF!,17,0),0)</f>
        <v>0</v>
      </c>
      <c r="O52" s="139">
        <f>_xlfn.IFERROR(VLOOKUP($P52,#REF!,17,0),0)</f>
        <v>0</v>
      </c>
      <c r="P52" s="5" t="str">
        <f>CONCATENATE(LOWER(B52)," ",LOWER(C52))</f>
        <v>robert downes</v>
      </c>
      <c r="Q52" s="15"/>
    </row>
    <row r="53" spans="1:17" ht="12.75">
      <c r="A53" s="141">
        <v>2</v>
      </c>
      <c r="B53" s="147" t="s">
        <v>377</v>
      </c>
      <c r="C53" s="147" t="s">
        <v>376</v>
      </c>
      <c r="D53" s="146" t="s">
        <v>4</v>
      </c>
      <c r="E53" s="140">
        <f>SUM(F53:O53)-SMALL(F53:O53,2)-MIN(F53:O53)</f>
        <v>160</v>
      </c>
      <c r="F53" s="287">
        <f>_xlfn.IFERROR(VLOOKUP($P53,'Rd1 PI'!$C$2:$AC$21,17,0),0)</f>
        <v>0</v>
      </c>
      <c r="G53" s="139">
        <f>_xlfn.IFERROR(VLOOKUP($P53,'Rd2 Winton'!$C$2:$AC$24,17,0),0)</f>
        <v>0</v>
      </c>
      <c r="H53" s="509">
        <f>_xlfn.IFERROR(VLOOKUP($P53,'Rd3 Winton IC'!$C$2:$AC$56,17,0),0)</f>
        <v>60</v>
      </c>
      <c r="I53" s="509">
        <f>_xlfn.IFERROR(VLOOKUP($P53,'Rd4 Sandown'!$C$2:$AC$30,17,0),0)</f>
        <v>100</v>
      </c>
      <c r="J53" s="509">
        <f>_xlfn.IFERROR(VLOOKUP($P53,'Rd5 Winton'!$C$2:$AC$29,17,0),0)</f>
        <v>0</v>
      </c>
      <c r="K53" s="139">
        <f>_xlfn.IFERROR(VLOOKUP($P53,#REF!,17,0),0)</f>
        <v>0</v>
      </c>
      <c r="L53" s="139">
        <f>_xlfn.IFERROR(VLOOKUP($P53,#REF!,17,0),0)</f>
        <v>0</v>
      </c>
      <c r="M53" s="139">
        <f>_xlfn.IFERROR(VLOOKUP($P53,#REF!,17,0),0)</f>
        <v>0</v>
      </c>
      <c r="N53" s="139">
        <f>_xlfn.IFERROR(VLOOKUP($P53,#REF!,17,0),0)</f>
        <v>0</v>
      </c>
      <c r="O53" s="139">
        <f>_xlfn.IFERROR(VLOOKUP($P53,#REF!,17,0),0)</f>
        <v>0</v>
      </c>
      <c r="P53" s="5" t="str">
        <f>CONCATENATE(LOWER(B53)," ",LOWER(C53))</f>
        <v>matt brogan</v>
      </c>
      <c r="Q53" s="15"/>
    </row>
    <row r="54" spans="1:17" ht="12.75">
      <c r="A54" s="141">
        <v>3</v>
      </c>
      <c r="B54" s="147" t="s">
        <v>193</v>
      </c>
      <c r="C54" s="147" t="s">
        <v>194</v>
      </c>
      <c r="D54" s="146" t="s">
        <v>4</v>
      </c>
      <c r="E54" s="140">
        <f>SUM(F54:O54)-SMALL(F54:O54,2)-MIN(F54:O54)</f>
        <v>135</v>
      </c>
      <c r="F54" s="287">
        <f>_xlfn.IFERROR(VLOOKUP($P54,'Rd1 PI'!$C$2:$AC$21,17,0),0)</f>
        <v>0</v>
      </c>
      <c r="G54" s="139">
        <f>_xlfn.IFERROR(VLOOKUP($P54,'Rd2 Winton'!$C$2:$AC$24,17,0),0)</f>
        <v>75</v>
      </c>
      <c r="H54" s="509">
        <f>_xlfn.IFERROR(VLOOKUP($P54,'Rd3 Winton IC'!$C$2:$AC$56,17,0),0)</f>
        <v>0</v>
      </c>
      <c r="I54" s="509">
        <f>_xlfn.IFERROR(VLOOKUP($P54,'Rd4 Sandown'!$C$2:$AC$30,17,0),0)</f>
        <v>60</v>
      </c>
      <c r="J54" s="509">
        <f>_xlfn.IFERROR(VLOOKUP($P54,'Rd5 Winton'!$C$2:$AC$29,17,0),0)</f>
        <v>0</v>
      </c>
      <c r="K54" s="139">
        <f>_xlfn.IFERROR(VLOOKUP($P54,#REF!,17,0),0)</f>
        <v>0</v>
      </c>
      <c r="L54" s="139">
        <f>_xlfn.IFERROR(VLOOKUP($P54,#REF!,17,0),0)</f>
        <v>0</v>
      </c>
      <c r="M54" s="139">
        <f>_xlfn.IFERROR(VLOOKUP($P54,#REF!,17,0),0)</f>
        <v>0</v>
      </c>
      <c r="N54" s="139">
        <f>_xlfn.IFERROR(VLOOKUP($P54,#REF!,17,0),0)</f>
        <v>0</v>
      </c>
      <c r="O54" s="139">
        <f>_xlfn.IFERROR(VLOOKUP($P54,#REF!,17,0),0)</f>
        <v>0</v>
      </c>
      <c r="P54" s="5" t="str">
        <f>CONCATENATE(LOWER(B54)," ",LOWER(C54))</f>
        <v>ian vague</v>
      </c>
      <c r="Q54" s="15"/>
    </row>
    <row r="55" spans="1:17" ht="12.75">
      <c r="A55" s="141">
        <v>4</v>
      </c>
      <c r="B55" s="147" t="s">
        <v>374</v>
      </c>
      <c r="C55" s="147" t="s">
        <v>375</v>
      </c>
      <c r="D55" s="146" t="s">
        <v>4</v>
      </c>
      <c r="E55" s="140">
        <f>SUM(F55:O55)-SMALL(F55:O55,2)-MIN(F55:O55)</f>
        <v>75</v>
      </c>
      <c r="F55" s="287">
        <f>_xlfn.IFERROR(VLOOKUP($P55,'Rd1 PI'!$C$2:$AC$21,17,0),0)</f>
        <v>0</v>
      </c>
      <c r="G55" s="139">
        <f>_xlfn.IFERROR(VLOOKUP($P55,'Rd2 Winton'!$C$2:$AC$24,17,0),0)</f>
        <v>0</v>
      </c>
      <c r="H55" s="509">
        <f>_xlfn.IFERROR(VLOOKUP($P55,'Rd3 Winton IC'!$C$2:$AC$56,17,0),0)</f>
        <v>75</v>
      </c>
      <c r="I55" s="509">
        <f>_xlfn.IFERROR(VLOOKUP($P55,'Rd4 Sandown'!$C$2:$AC$30,17,0),0)</f>
        <v>0</v>
      </c>
      <c r="J55" s="509">
        <f>_xlfn.IFERROR(VLOOKUP($P55,'Rd5 Winton'!$C$2:$AC$29,17,0),0)</f>
        <v>0</v>
      </c>
      <c r="K55" s="139">
        <f>_xlfn.IFERROR(VLOOKUP($P55,#REF!,17,0),0)</f>
        <v>0</v>
      </c>
      <c r="L55" s="139">
        <f>_xlfn.IFERROR(VLOOKUP($P55,#REF!,17,0),0)</f>
        <v>0</v>
      </c>
      <c r="M55" s="139">
        <f>_xlfn.IFERROR(VLOOKUP($P55,#REF!,17,0),0)</f>
        <v>0</v>
      </c>
      <c r="N55" s="139">
        <f>_xlfn.IFERROR(VLOOKUP($P55,#REF!,17,0),0)</f>
        <v>0</v>
      </c>
      <c r="O55" s="139">
        <f>_xlfn.IFERROR(VLOOKUP($P55,#REF!,17,0),0)</f>
        <v>0</v>
      </c>
      <c r="P55" s="5" t="str">
        <f>CONCATENATE(LOWER(B55)," ",LOWER(C55))</f>
        <v>hung do</v>
      </c>
      <c r="Q55" s="15"/>
    </row>
    <row r="56" spans="1:17" ht="13.5" thickBot="1">
      <c r="A56" s="141">
        <v>5</v>
      </c>
      <c r="B56" s="137"/>
      <c r="C56" s="137"/>
      <c r="D56" s="146" t="s">
        <v>4</v>
      </c>
      <c r="E56" s="143">
        <f>SUM(F56:O56)-SMALL(F56:O56,2)-MIN(F56:O56)</f>
        <v>0</v>
      </c>
      <c r="F56" s="287">
        <f>_xlfn.IFERROR(VLOOKUP($P56,'Rd1 PI'!$C$2:$AC$21,17,0),0)</f>
        <v>0</v>
      </c>
      <c r="G56" s="139">
        <f>_xlfn.IFERROR(VLOOKUP($P56,'Rd2 Winton'!$C$2:$AC$24,17,0),0)</f>
        <v>0</v>
      </c>
      <c r="H56" s="509">
        <f>_xlfn.IFERROR(VLOOKUP($P56,'Rd3 Winton IC'!$C$2:$AC$56,17,0),0)</f>
        <v>0</v>
      </c>
      <c r="I56" s="509">
        <f>_xlfn.IFERROR(VLOOKUP($P56,'Rd4 Sandown'!$C$2:$AC$30,17,0),0)</f>
        <v>0</v>
      </c>
      <c r="J56" s="509">
        <f>_xlfn.IFERROR(VLOOKUP($P56,'Rd5 Winton'!$C$2:$AC$29,17,0),0)</f>
        <v>0</v>
      </c>
      <c r="K56" s="139">
        <f>_xlfn.IFERROR(VLOOKUP($P56,#REF!,17,0),0)</f>
        <v>0</v>
      </c>
      <c r="L56" s="139">
        <f>_xlfn.IFERROR(VLOOKUP($P56,#REF!,17,0),0)</f>
        <v>0</v>
      </c>
      <c r="M56" s="139">
        <f>_xlfn.IFERROR(VLOOKUP($P56,#REF!,17,0),0)</f>
        <v>0</v>
      </c>
      <c r="N56" s="139">
        <f>_xlfn.IFERROR(VLOOKUP($P56,#REF!,17,0),0)</f>
        <v>0</v>
      </c>
      <c r="O56" s="139">
        <f>_xlfn.IFERROR(VLOOKUP($P56,#REF!,17,0),0)</f>
        <v>0</v>
      </c>
      <c r="P56" s="5" t="str">
        <f>CONCATENATE(LOWER(B56)," ",LOWER(C56))</f>
        <v> </v>
      </c>
      <c r="Q56" s="15"/>
    </row>
    <row r="57" spans="1:17" ht="12.75">
      <c r="A57" s="13"/>
      <c r="B57" s="22"/>
      <c r="C57" s="22"/>
      <c r="D57" s="23"/>
      <c r="E57" s="24"/>
      <c r="F57" s="4"/>
      <c r="G57" s="4"/>
      <c r="H57" s="4"/>
      <c r="I57" s="4"/>
      <c r="J57" s="4"/>
      <c r="K57" s="4"/>
      <c r="L57" s="4"/>
      <c r="M57" s="4"/>
      <c r="N57" s="4"/>
      <c r="O57" s="4"/>
      <c r="P57" s="14"/>
      <c r="Q57" s="15"/>
    </row>
    <row r="58" spans="1:17" ht="13.5" thickBot="1">
      <c r="A58" s="148" t="s">
        <v>20</v>
      </c>
      <c r="B58" s="149"/>
      <c r="C58" s="149"/>
      <c r="D58" s="15"/>
      <c r="E58" s="24"/>
      <c r="F58" s="4"/>
      <c r="G58" s="4"/>
      <c r="H58" s="4"/>
      <c r="I58" s="4"/>
      <c r="J58" s="4"/>
      <c r="K58" s="4"/>
      <c r="L58" s="4"/>
      <c r="M58" s="4"/>
      <c r="N58" s="4"/>
      <c r="O58" s="4"/>
      <c r="P58" s="14"/>
      <c r="Q58" s="15"/>
    </row>
    <row r="59" spans="1:17" ht="12.75">
      <c r="A59" s="134">
        <v>1</v>
      </c>
      <c r="B59" s="145" t="s">
        <v>191</v>
      </c>
      <c r="C59" s="163" t="s">
        <v>192</v>
      </c>
      <c r="D59" s="144" t="s">
        <v>50</v>
      </c>
      <c r="E59" s="131">
        <f>SUM(F59:O59)-SMALL(F59:O59,2)-MIN(F59:O59)</f>
        <v>300</v>
      </c>
      <c r="F59" s="167">
        <f>_xlfn.IFERROR(VLOOKUP($P59,'Rd1 PI'!$C$2:$AC$21,17,0),0)</f>
        <v>0</v>
      </c>
      <c r="G59" s="132">
        <f>_xlfn.IFERROR(VLOOKUP($P59,'Rd2 Winton'!$C$2:$AC$24,17,0),0)</f>
        <v>100</v>
      </c>
      <c r="H59" s="508">
        <f>_xlfn.IFERROR(VLOOKUP($P59,'Rd3 Winton IC'!$C$2:$AC$56,17,0),0)</f>
        <v>0</v>
      </c>
      <c r="I59" s="508">
        <f>_xlfn.IFERROR(VLOOKUP($P59,'Rd4 Sandown'!$C$2:$AC$30,17,0),0)</f>
        <v>100</v>
      </c>
      <c r="J59" s="508">
        <f>_xlfn.IFERROR(VLOOKUP($P59,'Rd5 Winton'!$C$2:$AC$29,17,0),0)</f>
        <v>100</v>
      </c>
      <c r="K59" s="132">
        <f>_xlfn.IFERROR(VLOOKUP($P59,#REF!,17,0),0)</f>
        <v>0</v>
      </c>
      <c r="L59" s="132">
        <f>_xlfn.IFERROR(VLOOKUP($P59,#REF!,17,0),0)</f>
        <v>0</v>
      </c>
      <c r="M59" s="132">
        <f>_xlfn.IFERROR(VLOOKUP($P59,#REF!,17,0),0)</f>
        <v>0</v>
      </c>
      <c r="N59" s="132">
        <f>_xlfn.IFERROR(VLOOKUP($P59,#REF!,17,0),0)</f>
        <v>0</v>
      </c>
      <c r="O59" s="132">
        <f>_xlfn.IFERROR(VLOOKUP($P59,#REF!,17,0),0)</f>
        <v>0</v>
      </c>
      <c r="P59" s="5" t="str">
        <f>CONCATENATE(LOWER(B59)," ",LOWER(C59))</f>
        <v>david adam</v>
      </c>
      <c r="Q59" s="15"/>
    </row>
    <row r="60" spans="1:17" ht="12.75">
      <c r="A60" s="134">
        <v>2</v>
      </c>
      <c r="B60" s="163"/>
      <c r="C60" s="163"/>
      <c r="D60" s="144" t="s">
        <v>50</v>
      </c>
      <c r="E60" s="133">
        <f>SUM(F60:O60)-SMALL(F60:O60,2)-MIN(F60:O60)</f>
        <v>0</v>
      </c>
      <c r="F60" s="167">
        <f>_xlfn.IFERROR(VLOOKUP($P60,'Rd1 PI'!$C$2:$AC$21,17,0),0)</f>
        <v>0</v>
      </c>
      <c r="G60" s="132">
        <f>_xlfn.IFERROR(VLOOKUP($P60,'Rd2 Winton'!$C$2:$AC$24,17,0),0)</f>
        <v>0</v>
      </c>
      <c r="H60" s="508">
        <f>_xlfn.IFERROR(VLOOKUP($P60,'Rd3 Winton IC'!$C$2:$AC$56,17,0),0)</f>
        <v>0</v>
      </c>
      <c r="I60" s="508">
        <f>_xlfn.IFERROR(VLOOKUP($P60,'Rd4 Sandown'!$C$2:$AC$30,17,0),0)</f>
        <v>0</v>
      </c>
      <c r="J60" s="508">
        <f>_xlfn.IFERROR(VLOOKUP($P60,'Rd5 Winton'!$C$2:$AC$29,17,0),0)</f>
        <v>0</v>
      </c>
      <c r="K60" s="132">
        <v>0</v>
      </c>
      <c r="L60" s="132">
        <f>_xlfn.IFERROR(VLOOKUP($P60,#REF!,17,0),0)</f>
        <v>0</v>
      </c>
      <c r="M60" s="132">
        <f>_xlfn.IFERROR(VLOOKUP($P60,#REF!,17,0),0)</f>
        <v>0</v>
      </c>
      <c r="N60" s="132">
        <f>_xlfn.IFERROR(VLOOKUP($P60,#REF!,17,0),0)</f>
        <v>0</v>
      </c>
      <c r="O60" s="132">
        <f>_xlfn.IFERROR(VLOOKUP($P60,#REF!,17,0),0)</f>
        <v>0</v>
      </c>
      <c r="P60" s="5" t="str">
        <f>CONCATENATE(LOWER(B60)," ",LOWER(C60))</f>
        <v> </v>
      </c>
      <c r="Q60" s="15"/>
    </row>
    <row r="61" spans="1:17" ht="12.75">
      <c r="A61" s="134">
        <v>3</v>
      </c>
      <c r="B61" s="130"/>
      <c r="C61" s="130"/>
      <c r="D61" s="144" t="s">
        <v>50</v>
      </c>
      <c r="E61" s="133">
        <f>SUM(F61:O61)-SMALL(F61:O61,2)-MIN(F61:O61)</f>
        <v>0</v>
      </c>
      <c r="F61" s="167">
        <f>_xlfn.IFERROR(VLOOKUP($P61,'Rd1 PI'!$C$2:$AC$21,17,0),0)</f>
        <v>0</v>
      </c>
      <c r="G61" s="132">
        <f>_xlfn.IFERROR(VLOOKUP($P61,'Rd2 Winton'!$C$2:$AC$24,17,0),0)</f>
        <v>0</v>
      </c>
      <c r="H61" s="508">
        <f>_xlfn.IFERROR(VLOOKUP($P61,'Rd3 Winton IC'!$C$2:$AC$56,17,0),0)</f>
        <v>0</v>
      </c>
      <c r="I61" s="508">
        <f>_xlfn.IFERROR(VLOOKUP($P61,'Rd4 Sandown'!$C$2:$AC$30,17,0),0)</f>
        <v>0</v>
      </c>
      <c r="J61" s="508">
        <f>_xlfn.IFERROR(VLOOKUP($P61,'Rd5 Winton'!$C$2:$AC$29,17,0),0)</f>
        <v>0</v>
      </c>
      <c r="K61" s="132">
        <v>0</v>
      </c>
      <c r="L61" s="132">
        <f>_xlfn.IFERROR(VLOOKUP($P61,#REF!,17,0),0)</f>
        <v>0</v>
      </c>
      <c r="M61" s="132">
        <f>_xlfn.IFERROR(VLOOKUP($P61,#REF!,17,0),0)</f>
        <v>0</v>
      </c>
      <c r="N61" s="132">
        <f>_xlfn.IFERROR(VLOOKUP($P61,#REF!,17,0),0)</f>
        <v>0</v>
      </c>
      <c r="O61" s="132">
        <f>_xlfn.IFERROR(VLOOKUP($P61,#REF!,17,0),0)</f>
        <v>0</v>
      </c>
      <c r="P61" s="5" t="str">
        <f>CONCATENATE(LOWER(B61)," ",LOWER(C61))</f>
        <v> </v>
      </c>
      <c r="Q61" s="15"/>
    </row>
    <row r="62" spans="1:17" ht="12.75">
      <c r="A62" s="134">
        <v>4</v>
      </c>
      <c r="B62" s="135"/>
      <c r="C62" s="135"/>
      <c r="D62" s="144" t="s">
        <v>50</v>
      </c>
      <c r="E62" s="133">
        <f>SUM(F62:O62)-SMALL(F62:O62,2)-MIN(F62:O62)</f>
        <v>0</v>
      </c>
      <c r="F62" s="167">
        <f>_xlfn.IFERROR(VLOOKUP($P62,'Rd1 PI'!$C$2:$AC$21,17,0),0)</f>
        <v>0</v>
      </c>
      <c r="G62" s="132">
        <f>_xlfn.IFERROR(VLOOKUP($P62,'Rd2 Winton'!$C$2:$AC$24,17,0),0)</f>
        <v>0</v>
      </c>
      <c r="H62" s="508">
        <f>_xlfn.IFERROR(VLOOKUP($P62,'Rd3 Winton IC'!$C$2:$AC$56,17,0),0)</f>
        <v>0</v>
      </c>
      <c r="I62" s="508">
        <f>_xlfn.IFERROR(VLOOKUP($P62,'Rd4 Sandown'!$C$2:$AC$30,17,0),0)</f>
        <v>0</v>
      </c>
      <c r="J62" s="508">
        <f>_xlfn.IFERROR(VLOOKUP($P62,'Rd5 Winton'!$C$2:$AC$29,17,0),0)</f>
        <v>0</v>
      </c>
      <c r="K62" s="132">
        <v>0</v>
      </c>
      <c r="L62" s="132">
        <f>_xlfn.IFERROR(VLOOKUP($P62,#REF!,17,0),0)</f>
        <v>0</v>
      </c>
      <c r="M62" s="132">
        <f>_xlfn.IFERROR(VLOOKUP($P62,#REF!,17,0),0)</f>
        <v>0</v>
      </c>
      <c r="N62" s="132">
        <f>_xlfn.IFERROR(VLOOKUP($P62,#REF!,17,0),0)</f>
        <v>0</v>
      </c>
      <c r="O62" s="132">
        <f>_xlfn.IFERROR(VLOOKUP($P62,#REF!,17,0),0)</f>
        <v>0</v>
      </c>
      <c r="P62" s="5" t="str">
        <f>CONCATENATE(LOWER(B62)," ",LOWER(C62))</f>
        <v> </v>
      </c>
      <c r="Q62" s="15"/>
    </row>
    <row r="63" spans="1:17" ht="13.5" thickBot="1">
      <c r="A63" s="134">
        <v>5</v>
      </c>
      <c r="B63" s="130"/>
      <c r="C63" s="130"/>
      <c r="D63" s="144" t="s">
        <v>50</v>
      </c>
      <c r="E63" s="136">
        <f>SUM(F63:O63)-SMALL(F63:O63,2)-MIN(F63:O63)</f>
        <v>0</v>
      </c>
      <c r="F63" s="167">
        <f>_xlfn.IFERROR(VLOOKUP($P63,'Rd1 PI'!$C$2:$AC$21,17,0),0)</f>
        <v>0</v>
      </c>
      <c r="G63" s="132">
        <f>_xlfn.IFERROR(VLOOKUP($P63,'Rd2 Winton'!$C$2:$AC$24,17,0),0)</f>
        <v>0</v>
      </c>
      <c r="H63" s="508">
        <f>_xlfn.IFERROR(VLOOKUP($P63,'Rd3 Winton IC'!$C$2:$AC$56,17,0),0)</f>
        <v>0</v>
      </c>
      <c r="I63" s="508">
        <f>_xlfn.IFERROR(VLOOKUP($P63,'Rd4 Sandown'!$C$2:$AC$30,17,0),0)</f>
        <v>0</v>
      </c>
      <c r="J63" s="508">
        <f>_xlfn.IFERROR(VLOOKUP($P63,'Rd5 Winton'!$C$2:$AC$29,17,0),0)</f>
        <v>0</v>
      </c>
      <c r="K63" s="132">
        <v>0</v>
      </c>
      <c r="L63" s="132">
        <f>_xlfn.IFERROR(VLOOKUP($P63,#REF!,17,0),0)</f>
        <v>0</v>
      </c>
      <c r="M63" s="132">
        <f>_xlfn.IFERROR(VLOOKUP($P63,#REF!,17,0),0)</f>
        <v>0</v>
      </c>
      <c r="N63" s="132">
        <f>_xlfn.IFERROR(VLOOKUP($P63,#REF!,17,0),0)</f>
        <v>0</v>
      </c>
      <c r="O63" s="132">
        <f>_xlfn.IFERROR(VLOOKUP($P63,#REF!,17,0),0)</f>
        <v>0</v>
      </c>
      <c r="P63" s="5" t="str">
        <f>CONCATENATE(LOWER(B63)," ",LOWER(C63))</f>
        <v> </v>
      </c>
      <c r="Q63" s="15"/>
    </row>
    <row r="64" spans="1:17" ht="12.75">
      <c r="A64" s="13"/>
      <c r="B64" s="22"/>
      <c r="C64" s="22"/>
      <c r="D64" s="23"/>
      <c r="E64" s="24"/>
      <c r="F64" s="4"/>
      <c r="G64" s="4"/>
      <c r="H64" s="4"/>
      <c r="I64" s="4"/>
      <c r="J64" s="4"/>
      <c r="K64" s="4"/>
      <c r="L64" s="4"/>
      <c r="M64" s="4"/>
      <c r="N64" s="4"/>
      <c r="O64" s="4"/>
      <c r="P64" s="14"/>
      <c r="Q64" s="15"/>
    </row>
    <row r="65" spans="1:15" s="5" customFormat="1" ht="13.5" thickBot="1">
      <c r="A65" s="381" t="s">
        <v>18</v>
      </c>
      <c r="B65" s="382"/>
      <c r="C65" s="382"/>
      <c r="D65" s="15"/>
      <c r="E65" s="24"/>
      <c r="F65" s="4"/>
      <c r="G65" s="4"/>
      <c r="H65" s="4"/>
      <c r="I65" s="4"/>
      <c r="J65" s="4"/>
      <c r="K65" s="4"/>
      <c r="L65" s="4"/>
      <c r="M65" s="4"/>
      <c r="N65" s="4"/>
      <c r="O65" s="4"/>
    </row>
    <row r="66" spans="1:16" s="5" customFormat="1" ht="12.75">
      <c r="A66" s="371">
        <v>1</v>
      </c>
      <c r="B66" s="372"/>
      <c r="C66" s="372"/>
      <c r="D66" s="373" t="s">
        <v>22</v>
      </c>
      <c r="E66" s="374">
        <f>SUM(F66:O66)-SMALL(F66:O66,2)-MIN(F66:O66)</f>
        <v>0</v>
      </c>
      <c r="F66" s="375">
        <f>_xlfn.IFERROR(VLOOKUP($P66,'Rd1 PI'!$C$2:$AC$21,17,0),0)</f>
        <v>0</v>
      </c>
      <c r="G66" s="376">
        <f>_xlfn.IFERROR(VLOOKUP($P66,'Rd2 Winton'!$C$2:$AC$24,17,0),0)</f>
        <v>0</v>
      </c>
      <c r="H66" s="376">
        <f>_xlfn.IFERROR(VLOOKUP($P66,'Rd3 Winton IC'!$C$2:$AC$56,17,0),0)</f>
        <v>0</v>
      </c>
      <c r="I66" s="376">
        <f>_xlfn.IFERROR(VLOOKUP($P66,'Rd4 Sandown'!$C$2:$AC$30,17,0),0)</f>
        <v>0</v>
      </c>
      <c r="J66" s="376">
        <f>_xlfn.IFERROR(VLOOKUP($P66,'Rd5 Winton'!$C$2:$AC$29,17,0),0)</f>
        <v>0</v>
      </c>
      <c r="K66" s="376">
        <f>_xlfn.IFERROR(VLOOKUP($P66,#REF!,17,0),0)</f>
        <v>0</v>
      </c>
      <c r="L66" s="376">
        <f>_xlfn.IFERROR(VLOOKUP($P66,#REF!,17,0),0)</f>
        <v>0</v>
      </c>
      <c r="M66" s="376">
        <f>_xlfn.IFERROR(VLOOKUP($P66,#REF!,17,0),0)</f>
        <v>0</v>
      </c>
      <c r="N66" s="376">
        <f>_xlfn.IFERROR(VLOOKUP($P66,#REF!,17,0),0)</f>
        <v>0</v>
      </c>
      <c r="O66" s="376">
        <v>0</v>
      </c>
      <c r="P66" s="5" t="str">
        <f>CONCATENATE(LOWER(B66)," ",LOWER(C66))</f>
        <v> </v>
      </c>
    </row>
    <row r="67" spans="1:16" s="5" customFormat="1" ht="12.75">
      <c r="A67" s="371">
        <v>2</v>
      </c>
      <c r="B67" s="372"/>
      <c r="C67" s="372"/>
      <c r="D67" s="373" t="s">
        <v>22</v>
      </c>
      <c r="E67" s="377">
        <f>SUM(F67:O67)-SMALL(F67:O67,2)-MIN(F67:O67)</f>
        <v>0</v>
      </c>
      <c r="F67" s="375">
        <f>_xlfn.IFERROR(VLOOKUP($P67,'Rd1 PI'!$C$2:$AC$21,17,0),0)</f>
        <v>0</v>
      </c>
      <c r="G67" s="376">
        <f>_xlfn.IFERROR(VLOOKUP($P67,'Rd2 Winton'!$C$2:$AC$24,17,0),0)</f>
        <v>0</v>
      </c>
      <c r="H67" s="376">
        <f>_xlfn.IFERROR(VLOOKUP($P67,'Rd3 Winton IC'!$C$2:$AC$56,17,0),0)</f>
        <v>0</v>
      </c>
      <c r="I67" s="376">
        <f>_xlfn.IFERROR(VLOOKUP($P67,'Rd4 Sandown'!$C$2:$AC$30,17,0),0)</f>
        <v>0</v>
      </c>
      <c r="J67" s="376">
        <f>_xlfn.IFERROR(VLOOKUP($P67,'Rd5 Winton'!$C$2:$AC$29,17,0),0)</f>
        <v>0</v>
      </c>
      <c r="K67" s="376">
        <f>_xlfn.IFERROR(VLOOKUP($P67,#REF!,17,0),0)</f>
        <v>0</v>
      </c>
      <c r="L67" s="376">
        <f>_xlfn.IFERROR(VLOOKUP($P67,#REF!,17,0),0)</f>
        <v>0</v>
      </c>
      <c r="M67" s="376">
        <f>_xlfn.IFERROR(VLOOKUP($P67,#REF!,17,0),0)</f>
        <v>0</v>
      </c>
      <c r="N67" s="376">
        <f>_xlfn.IFERROR(VLOOKUP($P67,#REF!,17,0),0)</f>
        <v>0</v>
      </c>
      <c r="O67" s="376">
        <f>_xlfn.IFERROR(VLOOKUP($P67,#REF!,17,0),0)</f>
        <v>0</v>
      </c>
      <c r="P67" s="5" t="str">
        <f>CONCATENATE(LOWER(B67)," ",LOWER(C67))</f>
        <v> </v>
      </c>
    </row>
    <row r="68" spans="1:16" s="5" customFormat="1" ht="12.75">
      <c r="A68" s="371">
        <v>3</v>
      </c>
      <c r="B68" s="372"/>
      <c r="C68" s="372"/>
      <c r="D68" s="373" t="s">
        <v>22</v>
      </c>
      <c r="E68" s="377">
        <f>SUM(F68:O68)-SMALL(F68:O68,2)-MIN(F68:O68)</f>
        <v>0</v>
      </c>
      <c r="F68" s="375">
        <f>_xlfn.IFERROR(VLOOKUP($P68,'Rd1 PI'!$C$2:$AC$21,17,0),0)</f>
        <v>0</v>
      </c>
      <c r="G68" s="376">
        <f>_xlfn.IFERROR(VLOOKUP($P68,'Rd2 Winton'!$C$2:$AC$24,17,0),0)</f>
        <v>0</v>
      </c>
      <c r="H68" s="376">
        <f>_xlfn.IFERROR(VLOOKUP($P68,'Rd3 Winton IC'!$C$2:$AC$56,17,0),0)</f>
        <v>0</v>
      </c>
      <c r="I68" s="376">
        <f>_xlfn.IFERROR(VLOOKUP($P68,'Rd4 Sandown'!$C$2:$AC$30,17,0),0)</f>
        <v>0</v>
      </c>
      <c r="J68" s="376">
        <f>_xlfn.IFERROR(VLOOKUP($P68,'Rd5 Winton'!$C$2:$AC$29,17,0),0)</f>
        <v>0</v>
      </c>
      <c r="K68" s="376">
        <f>_xlfn.IFERROR(VLOOKUP($P68,#REF!,17,0),0)</f>
        <v>0</v>
      </c>
      <c r="L68" s="376">
        <f>_xlfn.IFERROR(VLOOKUP($P68,#REF!,17,0),0)</f>
        <v>0</v>
      </c>
      <c r="M68" s="376">
        <f>_xlfn.IFERROR(VLOOKUP($P68,#REF!,17,0),0)</f>
        <v>0</v>
      </c>
      <c r="N68" s="376">
        <f>_xlfn.IFERROR(VLOOKUP($P68,#REF!,17,0),0)</f>
        <v>0</v>
      </c>
      <c r="O68" s="376">
        <f>_xlfn.IFERROR(VLOOKUP($P68,#REF!,17,0),0)</f>
        <v>0</v>
      </c>
      <c r="P68" s="5" t="str">
        <f>CONCATENATE(LOWER(B68)," ",LOWER(C68))</f>
        <v> </v>
      </c>
    </row>
    <row r="69" spans="1:17" s="5" customFormat="1" ht="12.75">
      <c r="A69" s="371">
        <v>4</v>
      </c>
      <c r="B69" s="378"/>
      <c r="C69" s="378"/>
      <c r="D69" s="373" t="s">
        <v>22</v>
      </c>
      <c r="E69" s="377">
        <f>SUM(F69:O69)-SMALL(F69:O69,2)-MIN(F69:O69)</f>
        <v>0</v>
      </c>
      <c r="F69" s="375">
        <f>_xlfn.IFERROR(VLOOKUP($P69,'Rd1 PI'!$C$2:$AC$21,17,0),0)</f>
        <v>0</v>
      </c>
      <c r="G69" s="376">
        <f>_xlfn.IFERROR(VLOOKUP($P69,'Rd2 Winton'!$C$2:$AC$24,17,0),0)</f>
        <v>0</v>
      </c>
      <c r="H69" s="376">
        <f>_xlfn.IFERROR(VLOOKUP($P69,'Rd3 Winton IC'!$C$2:$AC$56,17,0),0)</f>
        <v>0</v>
      </c>
      <c r="I69" s="376">
        <f>_xlfn.IFERROR(VLOOKUP($P69,'Rd4 Sandown'!$C$2:$AC$30,17,0),0)</f>
        <v>0</v>
      </c>
      <c r="J69" s="376">
        <f>_xlfn.IFERROR(VLOOKUP($P69,'Rd5 Winton'!$C$2:$AC$29,17,0),0)</f>
        <v>0</v>
      </c>
      <c r="K69" s="376">
        <f>_xlfn.IFERROR(VLOOKUP($P69,#REF!,17,0),0)</f>
        <v>0</v>
      </c>
      <c r="L69" s="376">
        <f>_xlfn.IFERROR(VLOOKUP($P69,#REF!,17,0),0)</f>
        <v>0</v>
      </c>
      <c r="M69" s="376">
        <f>_xlfn.IFERROR(VLOOKUP($P69,#REF!,17,0),0)</f>
        <v>0</v>
      </c>
      <c r="N69" s="376">
        <f>_xlfn.IFERROR(VLOOKUP($P69,#REF!,17,0),0)</f>
        <v>0</v>
      </c>
      <c r="O69" s="376">
        <f>_xlfn.IFERROR(VLOOKUP($P69,#REF!,17,0),0)</f>
        <v>0</v>
      </c>
      <c r="P69" s="5" t="str">
        <f>CONCATENATE(LOWER(B69)," ",LOWER(C69))</f>
        <v> </v>
      </c>
      <c r="Q69" s="15"/>
    </row>
    <row r="70" spans="1:17" s="5" customFormat="1" ht="13.5" thickBot="1">
      <c r="A70" s="379">
        <v>5</v>
      </c>
      <c r="B70" s="378"/>
      <c r="C70" s="378"/>
      <c r="D70" s="373" t="s">
        <v>22</v>
      </c>
      <c r="E70" s="380">
        <f>SUM(F70:O70)-SMALL(F70:O70,2)-MIN(F70:O70)</f>
        <v>0</v>
      </c>
      <c r="F70" s="375">
        <f>_xlfn.IFERROR(VLOOKUP($P70,'Rd1 PI'!$C$2:$AC$21,17,0),0)</f>
        <v>0</v>
      </c>
      <c r="G70" s="376">
        <f>_xlfn.IFERROR(VLOOKUP($P70,'Rd2 Winton'!$C$2:$AC$24,17,0),0)</f>
        <v>0</v>
      </c>
      <c r="H70" s="376">
        <f>_xlfn.IFERROR(VLOOKUP($P70,'Rd3 Winton IC'!$C$2:$AC$56,17,0),0)</f>
        <v>0</v>
      </c>
      <c r="I70" s="376">
        <f>_xlfn.IFERROR(VLOOKUP($P70,'Rd4 Sandown'!$C$2:$AC$30,17,0),0)</f>
        <v>0</v>
      </c>
      <c r="J70" s="376">
        <f>_xlfn.IFERROR(VLOOKUP($P70,'Rd5 Winton'!$C$2:$AC$29,17,0),0)</f>
        <v>0</v>
      </c>
      <c r="K70" s="376">
        <f>_xlfn.IFERROR(VLOOKUP($P70,#REF!,17,0),0)</f>
        <v>0</v>
      </c>
      <c r="L70" s="376">
        <f>_xlfn.IFERROR(VLOOKUP($P70,#REF!,17,0),0)</f>
        <v>0</v>
      </c>
      <c r="M70" s="376">
        <f>_xlfn.IFERROR(VLOOKUP($P70,#REF!,17,0),0)</f>
        <v>0</v>
      </c>
      <c r="N70" s="376">
        <f>_xlfn.IFERROR(VLOOKUP($P70,#REF!,17,0),0)</f>
        <v>0</v>
      </c>
      <c r="O70" s="376">
        <f>_xlfn.IFERROR(VLOOKUP($P70,#REF!,17,0),0)</f>
        <v>0</v>
      </c>
      <c r="P70" s="5" t="str">
        <f>CONCATENATE(LOWER(B70)," ",LOWER(C70))</f>
        <v> </v>
      </c>
      <c r="Q70" s="15"/>
    </row>
    <row r="71" spans="1:17" s="5" customFormat="1" ht="12.75">
      <c r="A71" s="13"/>
      <c r="B71" s="22"/>
      <c r="C71" s="22"/>
      <c r="D71" s="4"/>
      <c r="E71" s="24"/>
      <c r="F71" s="4"/>
      <c r="G71" s="4"/>
      <c r="H71" s="4"/>
      <c r="I71" s="4"/>
      <c r="J71" s="4"/>
      <c r="K71" s="4"/>
      <c r="L71" s="4"/>
      <c r="M71" s="4"/>
      <c r="N71" s="4"/>
      <c r="O71" s="4"/>
      <c r="P71" s="14"/>
      <c r="Q71" s="15"/>
    </row>
    <row r="72" spans="1:15" s="5" customFormat="1" ht="13.5" thickBot="1">
      <c r="A72" s="45" t="s">
        <v>19</v>
      </c>
      <c r="B72" s="46"/>
      <c r="C72" s="46"/>
      <c r="D72" s="15"/>
      <c r="E72" s="24"/>
      <c r="F72" s="4"/>
      <c r="G72" s="4"/>
      <c r="H72" s="4"/>
      <c r="I72" s="4"/>
      <c r="J72" s="4"/>
      <c r="K72" s="4"/>
      <c r="L72" s="4"/>
      <c r="M72" s="4"/>
      <c r="N72" s="4"/>
      <c r="O72" s="4"/>
    </row>
    <row r="73" spans="1:16" s="5" customFormat="1" ht="12.75">
      <c r="A73" s="42">
        <v>1</v>
      </c>
      <c r="B73" s="102" t="s">
        <v>31</v>
      </c>
      <c r="C73" s="102" t="s">
        <v>32</v>
      </c>
      <c r="D73" s="83" t="s">
        <v>21</v>
      </c>
      <c r="E73" s="90">
        <f>SUM(F73:O73)-SMALL(F73:O73,2)-MIN(F73:O73)</f>
        <v>475</v>
      </c>
      <c r="F73" s="161">
        <f>_xlfn.IFERROR(VLOOKUP($P73,'Rd1 PI'!$C$2:$AC$21,17,0),0)</f>
        <v>100</v>
      </c>
      <c r="G73" s="43">
        <f>_xlfn.IFERROR(VLOOKUP($P73,'Rd2 Winton'!$C$2:$AC$24,17,0),0)</f>
        <v>100</v>
      </c>
      <c r="H73" s="507">
        <f>_xlfn.IFERROR(VLOOKUP($P73,'Rd3 Winton IC'!$C$2:$AC$56,17,0),0)</f>
        <v>75</v>
      </c>
      <c r="I73" s="507">
        <f>_xlfn.IFERROR(VLOOKUP($P73,'Rd4 Sandown'!$C$2:$AC$30,17,0),0)</f>
        <v>100</v>
      </c>
      <c r="J73" s="507">
        <f>_xlfn.IFERROR(VLOOKUP($P73,'Rd5 Winton'!$C$2:$AC$29,17,0),0)</f>
        <v>100</v>
      </c>
      <c r="K73" s="43">
        <f>_xlfn.IFERROR(VLOOKUP($P73,#REF!,17,0),0)</f>
        <v>0</v>
      </c>
      <c r="L73" s="43">
        <f>_xlfn.IFERROR(VLOOKUP($P73,#REF!,17,0),0)</f>
        <v>0</v>
      </c>
      <c r="M73" s="43">
        <f>_xlfn.IFERROR(VLOOKUP($P73,#REF!,17,0),0)</f>
        <v>0</v>
      </c>
      <c r="N73" s="43">
        <f>_xlfn.IFERROR(VLOOKUP($P73,#REF!,17,0),0)</f>
        <v>0</v>
      </c>
      <c r="O73" s="43">
        <f>_xlfn.IFERROR(VLOOKUP($P73,#REF!,17,0),0)</f>
        <v>0</v>
      </c>
      <c r="P73" s="5" t="str">
        <f>CONCATENATE(LOWER(B73)," ",LOWER(C73))</f>
        <v>noel heritage</v>
      </c>
    </row>
    <row r="74" spans="1:17" s="5" customFormat="1" ht="12.75">
      <c r="A74" s="42">
        <v>2</v>
      </c>
      <c r="B74" s="35" t="s">
        <v>113</v>
      </c>
      <c r="C74" s="35" t="s">
        <v>114</v>
      </c>
      <c r="D74" s="83" t="s">
        <v>21</v>
      </c>
      <c r="E74" s="91">
        <f>SUM(F74:O74)-SMALL(F74:O74,2)-MIN(F74:O74)</f>
        <v>400</v>
      </c>
      <c r="F74" s="161">
        <f>_xlfn.IFERROR(VLOOKUP($P74,'Rd1 PI'!$C$2:$AC$21,17,0),0)</f>
        <v>75</v>
      </c>
      <c r="G74" s="43">
        <f>_xlfn.IFERROR(VLOOKUP($P74,'Rd2 Winton'!$C$2:$AC$24,17,0),0)</f>
        <v>75</v>
      </c>
      <c r="H74" s="507">
        <f>_xlfn.IFERROR(VLOOKUP($P74,'Rd3 Winton IC'!$C$2:$AC$56,17,0),0)</f>
        <v>100</v>
      </c>
      <c r="I74" s="507">
        <f>_xlfn.IFERROR(VLOOKUP($P74,'Rd4 Sandown'!$C$2:$AC$30,17,0),0)</f>
        <v>75</v>
      </c>
      <c r="J74" s="507">
        <f>_xlfn.IFERROR(VLOOKUP($P74,'Rd5 Winton'!$C$2:$AC$29,17,0),0)</f>
        <v>75</v>
      </c>
      <c r="K74" s="43">
        <f>_xlfn.IFERROR(VLOOKUP($P74,#REF!,17,0),0)</f>
        <v>0</v>
      </c>
      <c r="L74" s="43">
        <f>_xlfn.IFERROR(VLOOKUP($P74,#REF!,17,0),0)</f>
        <v>0</v>
      </c>
      <c r="M74" s="43">
        <f>_xlfn.IFERROR(VLOOKUP($P74,#REF!,17,0),0)</f>
        <v>0</v>
      </c>
      <c r="N74" s="43">
        <f>_xlfn.IFERROR(VLOOKUP($P74,#REF!,17,0),0)</f>
        <v>0</v>
      </c>
      <c r="O74" s="43">
        <f>_xlfn.IFERROR(VLOOKUP($P74,#REF!,17,0),0)</f>
        <v>0</v>
      </c>
      <c r="P74" s="5" t="str">
        <f>CONCATENATE(LOWER(B74)," ",LOWER(C74))</f>
        <v>max lloyd</v>
      </c>
      <c r="Q74" s="15"/>
    </row>
    <row r="75" spans="1:16" s="5" customFormat="1" ht="12.75">
      <c r="A75" s="42">
        <v>3</v>
      </c>
      <c r="B75" s="102" t="s">
        <v>62</v>
      </c>
      <c r="C75" s="102" t="s">
        <v>59</v>
      </c>
      <c r="D75" s="83" t="s">
        <v>21</v>
      </c>
      <c r="E75" s="91">
        <f>SUM(F75:O75)-SMALL(F75:O75,2)-MIN(F75:O75)</f>
        <v>60</v>
      </c>
      <c r="F75" s="161">
        <f>_xlfn.IFERROR(VLOOKUP($P75,'Rd1 PI'!$C$2:$AC$21,17,0),0)</f>
        <v>60</v>
      </c>
      <c r="G75" s="43">
        <f>_xlfn.IFERROR(VLOOKUP($P75,'Rd2 Winton'!$C$2:$AC$24,17,0),0)</f>
        <v>0</v>
      </c>
      <c r="H75" s="507">
        <f>_xlfn.IFERROR(VLOOKUP($P75,'Rd3 Winton IC'!$C$2:$AC$56,17,0),0)</f>
        <v>0</v>
      </c>
      <c r="I75" s="507">
        <f>_xlfn.IFERROR(VLOOKUP($P75,'Rd4 Sandown'!$C$2:$AC$30,17,0),0)</f>
        <v>0</v>
      </c>
      <c r="J75" s="507">
        <f>_xlfn.IFERROR(VLOOKUP($P75,'Rd5 Winton'!$C$2:$AC$29,17,0),0)</f>
        <v>0</v>
      </c>
      <c r="K75" s="43">
        <f>_xlfn.IFERROR(VLOOKUP($P75,#REF!,17,0),0)</f>
        <v>0</v>
      </c>
      <c r="L75" s="43">
        <f>_xlfn.IFERROR(VLOOKUP($P75,#REF!,17,0),0)</f>
        <v>0</v>
      </c>
      <c r="M75" s="43">
        <f>_xlfn.IFERROR(VLOOKUP($P75,#REF!,17,0),0)</f>
        <v>0</v>
      </c>
      <c r="N75" s="43">
        <f>_xlfn.IFERROR(VLOOKUP($P75,#REF!,17,0),0)</f>
        <v>0</v>
      </c>
      <c r="O75" s="43">
        <f>_xlfn.IFERROR(VLOOKUP($P75,#REF!,17,0),0)</f>
        <v>0</v>
      </c>
      <c r="P75" s="5" t="str">
        <f>CONCATENATE(LOWER(B75)," ",LOWER(C75))</f>
        <v>gareth pedley</v>
      </c>
    </row>
    <row r="76" spans="1:17" ht="12.75">
      <c r="A76" s="42">
        <v>4</v>
      </c>
      <c r="B76" s="35" t="s">
        <v>431</v>
      </c>
      <c r="C76" s="102" t="s">
        <v>432</v>
      </c>
      <c r="D76" s="83" t="s">
        <v>21</v>
      </c>
      <c r="E76" s="91">
        <f>SUM(F76:O76)-SMALL(F76:O76,2)-MIN(F76:O76)</f>
        <v>60</v>
      </c>
      <c r="F76" s="161">
        <f>_xlfn.IFERROR(VLOOKUP($P76,'Rd1 PI'!$C$2:$AC$21,17,0),0)</f>
        <v>0</v>
      </c>
      <c r="G76" s="43">
        <f>_xlfn.IFERROR(VLOOKUP($P76,'Rd2 Winton'!$C$2:$AC$24,17,0),0)</f>
        <v>0</v>
      </c>
      <c r="H76" s="507">
        <f>_xlfn.IFERROR(VLOOKUP($P76,'Rd3 Winton IC'!$C$2:$AC$56,17,0),0)</f>
        <v>0</v>
      </c>
      <c r="I76" s="507">
        <f>_xlfn.IFERROR(VLOOKUP($P76,'Rd4 Sandown'!$C$2:$AC$30,17,0),0)</f>
        <v>60</v>
      </c>
      <c r="J76" s="507">
        <f>_xlfn.IFERROR(VLOOKUP($P76,'Rd5 Winton'!$C$2:$AC$29,17,0),0)</f>
        <v>0</v>
      </c>
      <c r="K76" s="43">
        <f>_xlfn.IFERROR(VLOOKUP($P76,#REF!,17,0),0)</f>
        <v>0</v>
      </c>
      <c r="L76" s="43">
        <f>_xlfn.IFERROR(VLOOKUP($P76,#REF!,17,0),0)</f>
        <v>0</v>
      </c>
      <c r="M76" s="43">
        <f>_xlfn.IFERROR(VLOOKUP($P76,#REF!,17,0),0)</f>
        <v>0</v>
      </c>
      <c r="N76" s="43">
        <f>_xlfn.IFERROR(VLOOKUP($P76,#REF!,17,0),0)</f>
        <v>0</v>
      </c>
      <c r="O76" s="43">
        <f>_xlfn.IFERROR(VLOOKUP($P76,#REF!,17,0),0)</f>
        <v>0</v>
      </c>
      <c r="P76" s="5" t="str">
        <f>CONCATENATE(LOWER(B76)," ",LOWER(C76))</f>
        <v>murray seymour</v>
      </c>
      <c r="Q76" s="5"/>
    </row>
    <row r="77" spans="1:17" ht="13.5" thickBot="1">
      <c r="A77" s="44">
        <v>5</v>
      </c>
      <c r="B77" s="102"/>
      <c r="C77" s="102"/>
      <c r="D77" s="83" t="s">
        <v>21</v>
      </c>
      <c r="E77" s="92">
        <f>SUM(F77:O77)-SMALL(F77:O77,2)-MIN(F77:O77)</f>
        <v>0</v>
      </c>
      <c r="F77" s="161">
        <f>_xlfn.IFERROR(VLOOKUP($P77,'Rd1 PI'!$C$2:$AC$21,17,0),0)</f>
        <v>0</v>
      </c>
      <c r="G77" s="43">
        <f>_xlfn.IFERROR(VLOOKUP($P77,'Rd2 Winton'!$C$2:$AC$24,17,0),0)</f>
        <v>0</v>
      </c>
      <c r="H77" s="507">
        <f>_xlfn.IFERROR(VLOOKUP($P77,'Rd3 Winton IC'!$C$2:$AC$56,17,0),0)</f>
        <v>0</v>
      </c>
      <c r="I77" s="507">
        <f>_xlfn.IFERROR(VLOOKUP($P77,'Rd4 Sandown'!$C$2:$AC$30,17,0),0)</f>
        <v>0</v>
      </c>
      <c r="J77" s="507">
        <f>_xlfn.IFERROR(VLOOKUP($P77,'Rd5 Winton'!$C$2:$AC$29,17,0),0)</f>
        <v>0</v>
      </c>
      <c r="K77" s="43">
        <f>_xlfn.IFERROR(VLOOKUP($P77,#REF!,17,0),0)</f>
        <v>0</v>
      </c>
      <c r="L77" s="43">
        <f>_xlfn.IFERROR(VLOOKUP($P77,#REF!,17,0),0)</f>
        <v>0</v>
      </c>
      <c r="M77" s="43">
        <f>_xlfn.IFERROR(VLOOKUP($P77,#REF!,17,0),0)</f>
        <v>0</v>
      </c>
      <c r="N77" s="43">
        <f>_xlfn.IFERROR(VLOOKUP($P77,#REF!,17,0),0)</f>
        <v>0</v>
      </c>
      <c r="O77" s="43">
        <f>_xlfn.IFERROR(VLOOKUP($P77,#REF!,17,0),0)</f>
        <v>0</v>
      </c>
      <c r="P77" s="5" t="str">
        <f>CONCATENATE(LOWER(B77)," ",LOWER(C77))</f>
        <v> </v>
      </c>
      <c r="Q77" s="15"/>
    </row>
    <row r="78" spans="1:17" ht="12.75">
      <c r="A78" s="13"/>
      <c r="B78" s="22"/>
      <c r="C78" s="22"/>
      <c r="D78" s="4"/>
      <c r="E78" s="24"/>
      <c r="F78" s="4"/>
      <c r="G78" s="4"/>
      <c r="H78" s="4"/>
      <c r="I78" s="4"/>
      <c r="J78" s="4"/>
      <c r="K78" s="4"/>
      <c r="L78" s="4"/>
      <c r="M78" s="4"/>
      <c r="N78" s="4"/>
      <c r="O78" s="4"/>
      <c r="P78" s="14"/>
      <c r="Q78" s="15"/>
    </row>
    <row r="79" spans="1:15" s="5" customFormat="1" ht="13.5" thickBot="1">
      <c r="A79" s="337" t="s">
        <v>48</v>
      </c>
      <c r="B79" s="290"/>
      <c r="C79" s="290"/>
      <c r="D79" s="15"/>
      <c r="E79" s="24"/>
      <c r="F79" s="4"/>
      <c r="G79" s="4"/>
      <c r="H79" s="4"/>
      <c r="I79" s="4"/>
      <c r="J79" s="4"/>
      <c r="K79" s="4"/>
      <c r="L79" s="4"/>
      <c r="M79" s="4"/>
      <c r="N79" s="4"/>
      <c r="O79" s="4"/>
    </row>
    <row r="80" spans="1:16" s="5" customFormat="1" ht="12.75">
      <c r="A80" s="338">
        <v>1</v>
      </c>
      <c r="B80" s="334" t="s">
        <v>70</v>
      </c>
      <c r="C80" s="334" t="s">
        <v>71</v>
      </c>
      <c r="D80" s="339" t="s">
        <v>51</v>
      </c>
      <c r="E80" s="340">
        <f>SUM(F80:O80)-SMALL(F80:O80,2)-MIN(F80:O80)</f>
        <v>500</v>
      </c>
      <c r="F80" s="336">
        <f>_xlfn.IFERROR(VLOOKUP($P80,'Rd1 PI'!$C$2:$AC$21,17,0),0)</f>
        <v>100</v>
      </c>
      <c r="G80" s="335">
        <f>_xlfn.IFERROR(VLOOKUP($P80,'Rd2 Winton'!$C$2:$AC$24,17,0),0)</f>
        <v>100</v>
      </c>
      <c r="H80" s="335">
        <f>_xlfn.IFERROR(VLOOKUP($P80,'Rd3 Winton IC'!$C$2:$AC$56,17,0),0)</f>
        <v>100</v>
      </c>
      <c r="I80" s="335">
        <f>_xlfn.IFERROR(VLOOKUP($P80,'Rd4 Sandown'!$C$2:$AC$30,17,0),0)</f>
        <v>100</v>
      </c>
      <c r="J80" s="518">
        <f>_xlfn.IFERROR(VLOOKUP($P80,'Rd5 Winton'!$C$2:$AC$29,17,0),0)</f>
        <v>100</v>
      </c>
      <c r="K80" s="335">
        <f>_xlfn.IFERROR(VLOOKUP($P80,#REF!,17,0),0)</f>
        <v>0</v>
      </c>
      <c r="L80" s="335">
        <f>_xlfn.IFERROR(VLOOKUP($P80,#REF!,17,0),0)</f>
        <v>0</v>
      </c>
      <c r="M80" s="335">
        <f>_xlfn.IFERROR(VLOOKUP($P80,#REF!,17,0),0)</f>
        <v>0</v>
      </c>
      <c r="N80" s="335">
        <f>_xlfn.IFERROR(VLOOKUP($P80,#REF!,17,0),0)</f>
        <v>0</v>
      </c>
      <c r="O80" s="335">
        <f>_xlfn.IFERROR(VLOOKUP($P80,#REF!,17,0),0)</f>
        <v>0</v>
      </c>
      <c r="P80" s="5" t="str">
        <f>CONCATENATE(LOWER(B80)," ",LOWER(C80))</f>
        <v>gavin newman</v>
      </c>
    </row>
    <row r="81" spans="1:16" s="5" customFormat="1" ht="12.75">
      <c r="A81" s="338">
        <v>2</v>
      </c>
      <c r="B81" s="334" t="s">
        <v>81</v>
      </c>
      <c r="C81" s="334" t="s">
        <v>378</v>
      </c>
      <c r="D81" s="339" t="s">
        <v>51</v>
      </c>
      <c r="E81" s="341">
        <f>SUM(F81:O81)-SMALL(F81:O81,2)-MIN(F81:O81)</f>
        <v>75</v>
      </c>
      <c r="F81" s="336">
        <f>_xlfn.IFERROR(VLOOKUP($P81,'Rd1 PI'!$C$2:$AC$21,17,0),0)</f>
        <v>0</v>
      </c>
      <c r="G81" s="335">
        <f>_xlfn.IFERROR(VLOOKUP($P81,'Rd2 Winton'!$C$2:$AC$24,17,0),0)</f>
        <v>0</v>
      </c>
      <c r="H81" s="335">
        <f>_xlfn.IFERROR(VLOOKUP($P81,'Rd3 Winton IC'!$C$2:$AC$56,17,0),0)</f>
        <v>75</v>
      </c>
      <c r="I81" s="335">
        <f>_xlfn.IFERROR(VLOOKUP($P81,'Rd4 Sandown'!$C$2:$AC$30,17,0),0)</f>
        <v>0</v>
      </c>
      <c r="J81" s="518">
        <f>_xlfn.IFERROR(VLOOKUP($P81,'Rd5 Winton'!$C$2:$AC$29,17,0),0)</f>
        <v>0</v>
      </c>
      <c r="K81" s="335">
        <f>_xlfn.IFERROR(VLOOKUP($P81,#REF!,17,0),0)</f>
        <v>0</v>
      </c>
      <c r="L81" s="335">
        <f>_xlfn.IFERROR(VLOOKUP($P81,#REF!,17,0),0)</f>
        <v>0</v>
      </c>
      <c r="M81" s="335">
        <f>_xlfn.IFERROR(VLOOKUP($P81,#REF!,17,0),0)</f>
        <v>0</v>
      </c>
      <c r="N81" s="335">
        <f>_xlfn.IFERROR(VLOOKUP($P81,#REF!,17,0),0)</f>
        <v>0</v>
      </c>
      <c r="O81" s="335">
        <f>_xlfn.IFERROR(VLOOKUP($P81,#REF!,17,0),0)</f>
        <v>0</v>
      </c>
      <c r="P81" s="5" t="str">
        <f>CONCATENATE(LOWER(B81)," ",LOWER(C81))</f>
        <v>john reid</v>
      </c>
    </row>
    <row r="82" spans="1:16" s="5" customFormat="1" ht="12.75">
      <c r="A82" s="338">
        <v>3</v>
      </c>
      <c r="B82" s="334" t="s">
        <v>429</v>
      </c>
      <c r="C82" s="334" t="s">
        <v>430</v>
      </c>
      <c r="D82" s="339" t="s">
        <v>51</v>
      </c>
      <c r="E82" s="341">
        <f>SUM(F82:O82)-SMALL(F82:O82,2)-MIN(F82:O82)</f>
        <v>75</v>
      </c>
      <c r="F82" s="336">
        <f>_xlfn.IFERROR(VLOOKUP($P82,'Rd1 PI'!$C$2:$AC$21,17,0),0)</f>
        <v>0</v>
      </c>
      <c r="G82" s="335">
        <f>_xlfn.IFERROR(VLOOKUP($P82,'Rd2 Winton'!$C$2:$AC$24,17,0),0)</f>
        <v>0</v>
      </c>
      <c r="H82" s="335">
        <f>_xlfn.IFERROR(VLOOKUP($P82,'Rd3 Winton IC'!$C$2:$AC$56,17,0),0)</f>
        <v>0</v>
      </c>
      <c r="I82" s="335">
        <f>_xlfn.IFERROR(VLOOKUP($P82,'Rd4 Sandown'!$C$2:$AC$30,17,0),0)</f>
        <v>75</v>
      </c>
      <c r="J82" s="518">
        <f>_xlfn.IFERROR(VLOOKUP($P82,'Rd5 Winton'!$C$2:$AC$29,17,0),0)</f>
        <v>0</v>
      </c>
      <c r="K82" s="335">
        <f>_xlfn.IFERROR(VLOOKUP($P82,#REF!,17,0),0)</f>
        <v>0</v>
      </c>
      <c r="L82" s="335">
        <f>_xlfn.IFERROR(VLOOKUP($P82,#REF!,17,0),0)</f>
        <v>0</v>
      </c>
      <c r="M82" s="335">
        <f>_xlfn.IFERROR(VLOOKUP($P82,#REF!,17,0),0)</f>
        <v>0</v>
      </c>
      <c r="N82" s="335">
        <f>_xlfn.IFERROR(VLOOKUP($P82,#REF!,17,0),0)</f>
        <v>0</v>
      </c>
      <c r="O82" s="335">
        <f>_xlfn.IFERROR(VLOOKUP($P82,#REF!,17,0),0)</f>
        <v>0</v>
      </c>
      <c r="P82" s="5" t="str">
        <f>CONCATENATE(LOWER(B82)," ",LOWER(C82))</f>
        <v>jarrah pitt</v>
      </c>
    </row>
    <row r="83" spans="1:16" s="5" customFormat="1" ht="12.75">
      <c r="A83" s="338">
        <v>4</v>
      </c>
      <c r="B83" s="334"/>
      <c r="C83" s="334"/>
      <c r="D83" s="339" t="s">
        <v>51</v>
      </c>
      <c r="E83" s="341">
        <f>SUM(F83:O83)-SMALL(F83:O83,2)-MIN(F83:O83)</f>
        <v>0</v>
      </c>
      <c r="F83" s="336">
        <f>_xlfn.IFERROR(VLOOKUP($P83,'Rd1 PI'!$C$2:$AC$21,17,0),0)</f>
        <v>0</v>
      </c>
      <c r="G83" s="335">
        <f>_xlfn.IFERROR(VLOOKUP($P83,'Rd2 Winton'!$C$2:$AC$24,17,0),0)</f>
        <v>0</v>
      </c>
      <c r="H83" s="335">
        <f>_xlfn.IFERROR(VLOOKUP($P83,'Rd3 Winton IC'!$C$2:$AC$56,17,0),0)</f>
        <v>0</v>
      </c>
      <c r="I83" s="335">
        <f>_xlfn.IFERROR(VLOOKUP($P83,'Rd4 Sandown'!$C$2:$AC$30,17,0),0)</f>
        <v>0</v>
      </c>
      <c r="J83" s="518">
        <f>_xlfn.IFERROR(VLOOKUP($P83,'Rd5 Winton'!$C$2:$AC$29,17,0),0)</f>
        <v>0</v>
      </c>
      <c r="K83" s="335">
        <f>_xlfn.IFERROR(VLOOKUP($P83,#REF!,17,0),0)</f>
        <v>0</v>
      </c>
      <c r="L83" s="335">
        <f>_xlfn.IFERROR(VLOOKUP($P83,#REF!,17,0),0)</f>
        <v>0</v>
      </c>
      <c r="M83" s="335">
        <f>_xlfn.IFERROR(VLOOKUP($P83,#REF!,17,0),0)</f>
        <v>0</v>
      </c>
      <c r="N83" s="335">
        <f>_xlfn.IFERROR(VLOOKUP($P83,#REF!,17,0),0)</f>
        <v>0</v>
      </c>
      <c r="O83" s="335">
        <f>_xlfn.IFERROR(VLOOKUP($P83,#REF!,17,0),0)</f>
        <v>0</v>
      </c>
      <c r="P83" s="5" t="str">
        <f>CONCATENATE(LOWER(B83)," ",LOWER(C83))</f>
        <v> </v>
      </c>
    </row>
    <row r="84" spans="1:16" s="5" customFormat="1" ht="13.5" thickBot="1">
      <c r="A84" s="338">
        <v>5</v>
      </c>
      <c r="B84" s="334"/>
      <c r="C84" s="334"/>
      <c r="D84" s="339" t="s">
        <v>51</v>
      </c>
      <c r="E84" s="342">
        <f>SUM(F84:O84)-SMALL(F84:O84,2)-MIN(F84:O84)</f>
        <v>0</v>
      </c>
      <c r="F84" s="336">
        <f>_xlfn.IFERROR(VLOOKUP($P84,'Rd1 PI'!$C$2:$AC$21,17,0),0)</f>
        <v>0</v>
      </c>
      <c r="G84" s="335">
        <f>_xlfn.IFERROR(VLOOKUP($P84,'Rd2 Winton'!$C$2:$AC$24,17,0),0)</f>
        <v>0</v>
      </c>
      <c r="H84" s="335">
        <f>_xlfn.IFERROR(VLOOKUP($P84,'Rd3 Winton IC'!$C$2:$AC$56,17,0),0)</f>
        <v>0</v>
      </c>
      <c r="I84" s="335">
        <f>_xlfn.IFERROR(VLOOKUP($P84,'Rd4 Sandown'!$C$2:$AC$30,17,0),0)</f>
        <v>0</v>
      </c>
      <c r="J84" s="518">
        <f>_xlfn.IFERROR(VLOOKUP($P84,'Rd5 Winton'!$C$2:$AC$29,17,0),0)</f>
        <v>0</v>
      </c>
      <c r="K84" s="335">
        <f>_xlfn.IFERROR(VLOOKUP($P84,#REF!,17,0),0)</f>
        <v>0</v>
      </c>
      <c r="L84" s="335">
        <f>_xlfn.IFERROR(VLOOKUP($P84,#REF!,17,0),0)</f>
        <v>0</v>
      </c>
      <c r="M84" s="335">
        <f>_xlfn.IFERROR(VLOOKUP($P84,#REF!,17,0),0)</f>
        <v>0</v>
      </c>
      <c r="N84" s="335">
        <f>_xlfn.IFERROR(VLOOKUP($P84,#REF!,17,0),0)</f>
        <v>0</v>
      </c>
      <c r="O84" s="335">
        <f>_xlfn.IFERROR(VLOOKUP($P84,#REF!,17,0),0)</f>
        <v>0</v>
      </c>
      <c r="P84" s="5" t="str">
        <f>CONCATENATE(LOWER(B84)," ",LOWER(C84))</f>
        <v> </v>
      </c>
    </row>
    <row r="85" spans="1:17" ht="12.75">
      <c r="A85" s="13"/>
      <c r="B85" s="5"/>
      <c r="C85" s="5"/>
      <c r="D85" s="23"/>
      <c r="E85" s="24"/>
      <c r="F85" s="4"/>
      <c r="G85" s="4"/>
      <c r="H85" s="4"/>
      <c r="I85" s="12"/>
      <c r="J85" s="12"/>
      <c r="K85" s="12"/>
      <c r="L85" s="4"/>
      <c r="M85" s="4"/>
      <c r="N85" s="4"/>
      <c r="O85" s="4"/>
      <c r="P85" s="14"/>
      <c r="Q85" s="15"/>
    </row>
    <row r="86" spans="1:15" s="5" customFormat="1" ht="13.5" thickBot="1">
      <c r="A86" s="40" t="s">
        <v>49</v>
      </c>
      <c r="B86" s="41"/>
      <c r="C86" s="41"/>
      <c r="D86" s="15"/>
      <c r="E86" s="24"/>
      <c r="F86" s="4"/>
      <c r="G86" s="4"/>
      <c r="H86" s="4"/>
      <c r="I86" s="4"/>
      <c r="J86" s="4"/>
      <c r="K86" s="4"/>
      <c r="L86" s="4"/>
      <c r="M86" s="4"/>
      <c r="N86" s="4"/>
      <c r="O86" s="4"/>
    </row>
    <row r="87" spans="1:16" s="5" customFormat="1" ht="12.75">
      <c r="A87" s="37">
        <v>1</v>
      </c>
      <c r="B87" s="114" t="s">
        <v>189</v>
      </c>
      <c r="C87" s="114" t="s">
        <v>190</v>
      </c>
      <c r="D87" s="38" t="s">
        <v>52</v>
      </c>
      <c r="E87" s="93">
        <f>SUM(F87:O87)-SMALL(F87:O87,2)-MIN(F87:O87)</f>
        <v>325</v>
      </c>
      <c r="F87" s="288">
        <f>_xlfn.IFERROR(VLOOKUP($P87,'Rd1 PI'!$C$2:$AC$21,17,0),0)</f>
        <v>0</v>
      </c>
      <c r="G87" s="39">
        <f>_xlfn.IFERROR(VLOOKUP($P87,'Rd2 Winton'!$C$2:$AC$24,17,0),0)</f>
        <v>75</v>
      </c>
      <c r="H87" s="519">
        <f>_xlfn.IFERROR(VLOOKUP($P87,'Rd3 Winton IC'!$C$2:$AC$56,17,0),0)</f>
        <v>75</v>
      </c>
      <c r="I87" s="39">
        <f>_xlfn.IFERROR(VLOOKUP($P87,'Rd4 Sandown'!$C$2:$AC$30,17,0),0)</f>
        <v>75</v>
      </c>
      <c r="J87" s="39">
        <f>_xlfn.IFERROR(VLOOKUP($P87,'Rd5 Winton'!$C$2:$AC$29,17,0),0)</f>
        <v>100</v>
      </c>
      <c r="K87" s="39">
        <f>_xlfn.IFERROR(VLOOKUP($P87,#REF!,17,0),0)</f>
        <v>0</v>
      </c>
      <c r="L87" s="39">
        <f>_xlfn.IFERROR(VLOOKUP($P87,#REF!,17,0),0)</f>
        <v>0</v>
      </c>
      <c r="M87" s="39">
        <f>_xlfn.IFERROR(VLOOKUP($P87,#REF!,17,0),0)</f>
        <v>0</v>
      </c>
      <c r="N87" s="39">
        <f>_xlfn.IFERROR(VLOOKUP($P87,#REF!,17,0),0)</f>
        <v>0</v>
      </c>
      <c r="O87" s="39">
        <f>_xlfn.IFERROR(VLOOKUP($P87,#REF!,17,0),0)</f>
        <v>0</v>
      </c>
      <c r="P87" s="5" t="str">
        <f>CONCATENATE(LOWER(B87)," ",LOWER(C87))</f>
        <v>alan conrad</v>
      </c>
    </row>
    <row r="88" spans="1:16" s="5" customFormat="1" ht="12.75">
      <c r="A88" s="37">
        <v>2</v>
      </c>
      <c r="B88" s="114" t="s">
        <v>187</v>
      </c>
      <c r="C88" s="114" t="s">
        <v>188</v>
      </c>
      <c r="D88" s="38" t="s">
        <v>52</v>
      </c>
      <c r="E88" s="94">
        <f>SUM(F88:O88)-SMALL(F88:O88,2)-MIN(F88:O88)</f>
        <v>300</v>
      </c>
      <c r="F88" s="288">
        <f>_xlfn.IFERROR(VLOOKUP($P88,'Rd1 PI'!$C$2:$AC$21,17,0),0)</f>
        <v>0</v>
      </c>
      <c r="G88" s="39">
        <f>_xlfn.IFERROR(VLOOKUP($P88,'Rd2 Winton'!$C$2:$AC$24,17,0),0)</f>
        <v>100</v>
      </c>
      <c r="H88" s="519">
        <f>_xlfn.IFERROR(VLOOKUP($P88,'Rd3 Winton IC'!$C$2:$AC$56,17,0),0)</f>
        <v>100</v>
      </c>
      <c r="I88" s="39">
        <f>_xlfn.IFERROR(VLOOKUP($P88,'Rd4 Sandown'!$C$2:$AC$30,17,0),0)</f>
        <v>100</v>
      </c>
      <c r="J88" s="39">
        <f>_xlfn.IFERROR(VLOOKUP($P88,'Rd5 Winton'!$C$2:$AC$29,17,0),0)</f>
        <v>0</v>
      </c>
      <c r="K88" s="39">
        <f>_xlfn.IFERROR(VLOOKUP($P88,#REF!,17,0),0)</f>
        <v>0</v>
      </c>
      <c r="L88" s="39">
        <f>_xlfn.IFERROR(VLOOKUP($P88,#REF!,17,0),0)</f>
        <v>0</v>
      </c>
      <c r="M88" s="39">
        <f>_xlfn.IFERROR(VLOOKUP($P88,#REF!,17,0),0)</f>
        <v>0</v>
      </c>
      <c r="N88" s="39">
        <f>_xlfn.IFERROR(VLOOKUP($P88,#REF!,17,0),0)</f>
        <v>0</v>
      </c>
      <c r="O88" s="39">
        <f>_xlfn.IFERROR(VLOOKUP($P88,#REF!,17,0),0)</f>
        <v>0</v>
      </c>
      <c r="P88" s="5" t="str">
        <f>CONCATENATE(LOWER(B88)," ",LOWER(C88))</f>
        <v>randy stagno navarra</v>
      </c>
    </row>
    <row r="89" spans="1:16" s="5" customFormat="1" ht="12.75">
      <c r="A89" s="37">
        <v>3</v>
      </c>
      <c r="B89" s="114"/>
      <c r="C89" s="114"/>
      <c r="D89" s="38" t="s">
        <v>52</v>
      </c>
      <c r="E89" s="94">
        <f>SUM(F89:O89)-SMALL(F89:O89,2)-MIN(F89:O89)</f>
        <v>0</v>
      </c>
      <c r="F89" s="288">
        <f>_xlfn.IFERROR(VLOOKUP($P89,'Rd1 PI'!$C$2:$AC$21,17,0),0)</f>
        <v>0</v>
      </c>
      <c r="G89" s="39">
        <f>_xlfn.IFERROR(VLOOKUP($P89,'Rd2 Winton'!$C$2:$AC$24,17,0),0)</f>
        <v>0</v>
      </c>
      <c r="H89" s="519">
        <f>_xlfn.IFERROR(VLOOKUP($P89,'Rd3 Winton IC'!$C$2:$AC$56,17,0),0)</f>
        <v>0</v>
      </c>
      <c r="I89" s="39">
        <f>_xlfn.IFERROR(VLOOKUP($P89,'Rd4 Sandown'!$C$2:$AC$30,17,0),0)</f>
        <v>0</v>
      </c>
      <c r="J89" s="39">
        <f>_xlfn.IFERROR(VLOOKUP($P89,'Rd5 Winton'!$C$2:$AC$29,17,0),0)</f>
        <v>0</v>
      </c>
      <c r="K89" s="39">
        <f>_xlfn.IFERROR(VLOOKUP($P89,#REF!,17,0),0)</f>
        <v>0</v>
      </c>
      <c r="L89" s="39">
        <f>_xlfn.IFERROR(VLOOKUP($P89,#REF!,17,0),0)</f>
        <v>0</v>
      </c>
      <c r="M89" s="39">
        <f>_xlfn.IFERROR(VLOOKUP($P89,#REF!,17,0),0)</f>
        <v>0</v>
      </c>
      <c r="N89" s="39">
        <f>_xlfn.IFERROR(VLOOKUP($P89,#REF!,17,0),0)</f>
        <v>0</v>
      </c>
      <c r="O89" s="39">
        <f>_xlfn.IFERROR(VLOOKUP($P89,#REF!,17,0),0)</f>
        <v>0</v>
      </c>
      <c r="P89" s="5" t="str">
        <f>CONCATENATE(LOWER(B89)," ",LOWER(C89))</f>
        <v> </v>
      </c>
    </row>
    <row r="90" spans="1:16" s="5" customFormat="1" ht="12.75">
      <c r="A90" s="37">
        <v>4</v>
      </c>
      <c r="B90" s="114"/>
      <c r="C90" s="114"/>
      <c r="D90" s="38" t="s">
        <v>52</v>
      </c>
      <c r="E90" s="94">
        <f>SUM(F90:O90)-SMALL(F90:O90,2)-MIN(F90:O90)</f>
        <v>0</v>
      </c>
      <c r="F90" s="288">
        <f>_xlfn.IFERROR(VLOOKUP($P90,'Rd1 PI'!$C$2:$AC$21,17,0),0)</f>
        <v>0</v>
      </c>
      <c r="G90" s="39">
        <f>_xlfn.IFERROR(VLOOKUP($P90,'Rd2 Winton'!$C$2:$AC$24,17,0),0)</f>
        <v>0</v>
      </c>
      <c r="H90" s="519">
        <f>_xlfn.IFERROR(VLOOKUP($P90,'Rd3 Winton IC'!$C$2:$AC$56,17,0),0)</f>
        <v>0</v>
      </c>
      <c r="I90" s="39">
        <f>_xlfn.IFERROR(VLOOKUP($P90,'Rd4 Sandown'!$C$2:$AC$30,17,0),0)</f>
        <v>0</v>
      </c>
      <c r="J90" s="39">
        <f>_xlfn.IFERROR(VLOOKUP($P90,'Rd5 Winton'!$C$2:$AC$29,17,0),0)</f>
        <v>0</v>
      </c>
      <c r="K90" s="39">
        <f>_xlfn.IFERROR(VLOOKUP($P90,#REF!,17,0),0)</f>
        <v>0</v>
      </c>
      <c r="L90" s="39">
        <f>_xlfn.IFERROR(VLOOKUP($P90,#REF!,17,0),0)</f>
        <v>0</v>
      </c>
      <c r="M90" s="39">
        <f>_xlfn.IFERROR(VLOOKUP($P90,#REF!,17,0),0)</f>
        <v>0</v>
      </c>
      <c r="N90" s="39">
        <f>_xlfn.IFERROR(VLOOKUP($P90,#REF!,17,0),0)</f>
        <v>0</v>
      </c>
      <c r="O90" s="39">
        <f>_xlfn.IFERROR(VLOOKUP($P90,#REF!,17,0),0)</f>
        <v>0</v>
      </c>
      <c r="P90" s="5" t="str">
        <f>CONCATENATE(LOWER(B90)," ",LOWER(C90))</f>
        <v> </v>
      </c>
    </row>
    <row r="91" spans="1:16" s="5" customFormat="1" ht="13.5" thickBot="1">
      <c r="A91" s="37">
        <v>5</v>
      </c>
      <c r="B91" s="114"/>
      <c r="C91" s="114"/>
      <c r="D91" s="38" t="s">
        <v>52</v>
      </c>
      <c r="E91" s="95">
        <f>SUM(F91:O91)-SMALL(F91:O91,2)-MIN(F91:O91)</f>
        <v>0</v>
      </c>
      <c r="F91" s="288">
        <f>_xlfn.IFERROR(VLOOKUP($P91,'Rd1 PI'!$C$2:$AC$21,17,0),0)</f>
        <v>0</v>
      </c>
      <c r="G91" s="39">
        <f>_xlfn.IFERROR(VLOOKUP($P91,'Rd2 Winton'!$C$2:$AC$24,17,0),0)</f>
        <v>0</v>
      </c>
      <c r="H91" s="519">
        <f>_xlfn.IFERROR(VLOOKUP($P91,'Rd3 Winton IC'!$C$2:$AC$56,17,0),0)</f>
        <v>0</v>
      </c>
      <c r="I91" s="39">
        <f>_xlfn.IFERROR(VLOOKUP($P91,'Rd4 Sandown'!$C$2:$AC$30,17,0),0)</f>
        <v>0</v>
      </c>
      <c r="J91" s="39">
        <f>_xlfn.IFERROR(VLOOKUP($P91,'Rd5 Winton'!$C$2:$AC$29,17,0),0)</f>
        <v>0</v>
      </c>
      <c r="K91" s="39">
        <f>_xlfn.IFERROR(VLOOKUP($P91,#REF!,17,0),0)</f>
        <v>0</v>
      </c>
      <c r="L91" s="39">
        <f>_xlfn.IFERROR(VLOOKUP($P91,#REF!,17,0),0)</f>
        <v>0</v>
      </c>
      <c r="M91" s="39">
        <f>_xlfn.IFERROR(VLOOKUP($P91,#REF!,17,0),0)</f>
        <v>0</v>
      </c>
      <c r="N91" s="39">
        <f>_xlfn.IFERROR(VLOOKUP($P91,#REF!,17,0),0)</f>
        <v>0</v>
      </c>
      <c r="O91" s="39">
        <f>_xlfn.IFERROR(VLOOKUP($P91,#REF!,17,0),0)</f>
        <v>0</v>
      </c>
      <c r="P91" s="5" t="str">
        <f>CONCATENATE(LOWER(B91)," ",LOWER(C91))</f>
        <v> </v>
      </c>
    </row>
    <row r="92" spans="1:17" ht="12.75">
      <c r="A92" s="13"/>
      <c r="B92" s="5"/>
      <c r="C92" s="5"/>
      <c r="D92" s="23"/>
      <c r="E92" s="24"/>
      <c r="F92" s="4"/>
      <c r="G92" s="4"/>
      <c r="H92" s="4"/>
      <c r="I92" s="12"/>
      <c r="J92" s="12"/>
      <c r="K92" s="12"/>
      <c r="L92" s="4"/>
      <c r="M92" s="4"/>
      <c r="N92" s="4"/>
      <c r="O92" s="4"/>
      <c r="P92" s="14"/>
      <c r="Q92" s="15"/>
    </row>
    <row r="93" spans="1:15" s="5" customFormat="1" ht="13.5" thickBot="1">
      <c r="A93" s="152" t="s">
        <v>17</v>
      </c>
      <c r="B93" s="153"/>
      <c r="C93" s="153"/>
      <c r="D93" s="15"/>
      <c r="E93" s="24"/>
      <c r="F93" s="4"/>
      <c r="G93" s="4"/>
      <c r="H93" s="4"/>
      <c r="I93" s="4"/>
      <c r="J93" s="4"/>
      <c r="K93" s="4"/>
      <c r="L93" s="4"/>
      <c r="M93" s="4"/>
      <c r="N93" s="4"/>
      <c r="O93" s="4"/>
    </row>
    <row r="94" spans="1:16" s="5" customFormat="1" ht="12.75">
      <c r="A94" s="122">
        <v>1</v>
      </c>
      <c r="B94" s="127" t="s">
        <v>144</v>
      </c>
      <c r="C94" s="127" t="s">
        <v>145</v>
      </c>
      <c r="D94" s="123" t="s">
        <v>16</v>
      </c>
      <c r="E94" s="124">
        <f>SUM(F94:O94)-SMALL(F94:O94,2)-MIN(F94:O94)</f>
        <v>500</v>
      </c>
      <c r="F94" s="174">
        <f>_xlfn.IFERROR(VLOOKUP($P94,'Rd1 PI'!$C$2:$AC$21,17,0),0)</f>
        <v>100</v>
      </c>
      <c r="G94" s="125">
        <f>_xlfn.IFERROR(VLOOKUP($P94,'Rd2 Winton'!$C$2:$AC$24,17,0),0)</f>
        <v>100</v>
      </c>
      <c r="H94" s="125">
        <f>_xlfn.IFERROR(VLOOKUP($P94,'Rd3 Winton IC'!$C$2:$AC$56,17,0),0)</f>
        <v>100</v>
      </c>
      <c r="I94" s="125">
        <f>_xlfn.IFERROR(VLOOKUP($P94,'Rd4 Sandown'!$C$2:$AC$30,17,0),0)</f>
        <v>100</v>
      </c>
      <c r="J94" s="125">
        <f>_xlfn.IFERROR(VLOOKUP($P94,'Rd5 Winton'!$C$2:$AC$29,17,0),0)</f>
        <v>100</v>
      </c>
      <c r="K94" s="125">
        <f>_xlfn.IFERROR(VLOOKUP($P94,#REF!,17,0),0)</f>
        <v>0</v>
      </c>
      <c r="L94" s="125">
        <f>_xlfn.IFERROR(VLOOKUP($P94,#REF!,17,0),0)</f>
        <v>0</v>
      </c>
      <c r="M94" s="125">
        <f>_xlfn.IFERROR(VLOOKUP($P94,#REF!,17,0),0)</f>
        <v>0</v>
      </c>
      <c r="N94" s="125">
        <f>_xlfn.IFERROR(VLOOKUP($P94,#REF!,17,0),0)</f>
        <v>0</v>
      </c>
      <c r="O94" s="125">
        <f>_xlfn.IFERROR(VLOOKUP($P94,#REF!,17,0),0)</f>
        <v>0</v>
      </c>
      <c r="P94" s="5" t="str">
        <f>CONCATENATE(LOWER(B94)," ",LOWER(C94))</f>
        <v>russell garner</v>
      </c>
    </row>
    <row r="95" spans="1:16" s="5" customFormat="1" ht="12.75">
      <c r="A95" s="122">
        <v>2</v>
      </c>
      <c r="B95" s="127" t="s">
        <v>183</v>
      </c>
      <c r="C95" s="127" t="s">
        <v>184</v>
      </c>
      <c r="D95" s="123" t="s">
        <v>16</v>
      </c>
      <c r="E95" s="126">
        <f>SUM(F95:O95)-SMALL(F95:O95,2)-MIN(F95:O95)</f>
        <v>150</v>
      </c>
      <c r="F95" s="174">
        <f>_xlfn.IFERROR(VLOOKUP($P95,'Rd1 PI'!$C$2:$AC$21,17,0),0)</f>
        <v>0</v>
      </c>
      <c r="G95" s="125">
        <f>_xlfn.IFERROR(VLOOKUP($P95,'Rd2 Winton'!$C$2:$AC$24,17,0),0)</f>
        <v>75</v>
      </c>
      <c r="H95" s="125">
        <f>_xlfn.IFERROR(VLOOKUP($P95,'Rd3 Winton IC'!$C$2:$AC$56,17,0),0)</f>
        <v>75</v>
      </c>
      <c r="I95" s="125">
        <f>_xlfn.IFERROR(VLOOKUP($P95,'Rd4 Sandown'!$C$2:$AC$30,17,0),0)</f>
        <v>0</v>
      </c>
      <c r="J95" s="125">
        <f>_xlfn.IFERROR(VLOOKUP($P95,'Rd5 Winton'!$C$2:$AC$29,17,0),0)</f>
        <v>0</v>
      </c>
      <c r="K95" s="125">
        <f>_xlfn.IFERROR(VLOOKUP($P95,#REF!,17,0),0)</f>
        <v>0</v>
      </c>
      <c r="L95" s="125">
        <f>_xlfn.IFERROR(VLOOKUP($P95,#REF!,17,0),0)</f>
        <v>0</v>
      </c>
      <c r="M95" s="125">
        <f>_xlfn.IFERROR(VLOOKUP($P95,#REF!,17,0),0)</f>
        <v>0</v>
      </c>
      <c r="N95" s="125">
        <f>_xlfn.IFERROR(VLOOKUP($P95,#REF!,17,0),0)</f>
        <v>0</v>
      </c>
      <c r="O95" s="125">
        <f>_xlfn.IFERROR(VLOOKUP($P95,#REF!,17,0),0)</f>
        <v>0</v>
      </c>
      <c r="P95" s="5" t="str">
        <f>CONCATENATE(LOWER(B95)," ",LOWER(C95))</f>
        <v>dean watchorn</v>
      </c>
    </row>
    <row r="96" spans="1:16" s="5" customFormat="1" ht="12.75">
      <c r="A96" s="122">
        <v>3</v>
      </c>
      <c r="B96" s="127" t="s">
        <v>65</v>
      </c>
      <c r="C96" s="127" t="s">
        <v>373</v>
      </c>
      <c r="D96" s="123" t="s">
        <v>16</v>
      </c>
      <c r="E96" s="126">
        <f>SUM(F96:O96)-SMALL(F96:O96,2)-MIN(F96:O96)</f>
        <v>60</v>
      </c>
      <c r="F96" s="174">
        <f>_xlfn.IFERROR(VLOOKUP($P96,'Rd1 PI'!$C$2:$AC$21,17,0),0)</f>
        <v>0</v>
      </c>
      <c r="G96" s="125">
        <f>_xlfn.IFERROR(VLOOKUP($P96,'Rd2 Winton'!$C$2:$AC$24,17,0),0)</f>
        <v>0</v>
      </c>
      <c r="H96" s="125">
        <f>_xlfn.IFERROR(VLOOKUP($P96,'Rd3 Winton IC'!$C$2:$AC$56,17,0),0)</f>
        <v>60</v>
      </c>
      <c r="I96" s="125">
        <f>_xlfn.IFERROR(VLOOKUP($P96,'Rd4 Sandown'!$C$2:$AC$30,17,0),0)</f>
        <v>0</v>
      </c>
      <c r="J96" s="125">
        <f>_xlfn.IFERROR(VLOOKUP($P96,'Rd5 Winton'!$C$2:$AC$29,17,0),0)</f>
        <v>0</v>
      </c>
      <c r="K96" s="125">
        <f>_xlfn.IFERROR(VLOOKUP($P96,#REF!,17,0),0)</f>
        <v>0</v>
      </c>
      <c r="L96" s="125">
        <f>_xlfn.IFERROR(VLOOKUP($P96,#REF!,17,0),0)</f>
        <v>0</v>
      </c>
      <c r="M96" s="125">
        <f>_xlfn.IFERROR(VLOOKUP($P96,#REF!,17,0),0)</f>
        <v>0</v>
      </c>
      <c r="N96" s="125">
        <f>_xlfn.IFERROR(VLOOKUP($P96,#REF!,17,0),0)</f>
        <v>0</v>
      </c>
      <c r="O96" s="125">
        <f>_xlfn.IFERROR(VLOOKUP($P96,#REF!,17,0),0)</f>
        <v>0</v>
      </c>
      <c r="P96" s="5" t="str">
        <f>CONCATENATE(LOWER(B96)," ",LOWER(C96))</f>
        <v>robert parr</v>
      </c>
    </row>
    <row r="97" spans="1:16" s="5" customFormat="1" ht="12.75">
      <c r="A97" s="122">
        <v>4</v>
      </c>
      <c r="B97" s="127"/>
      <c r="C97" s="127"/>
      <c r="D97" s="123" t="s">
        <v>16</v>
      </c>
      <c r="E97" s="126">
        <f>SUM(F97:O97)-SMALL(F97:O97,2)-MIN(F97:O97)</f>
        <v>0</v>
      </c>
      <c r="F97" s="174">
        <f>_xlfn.IFERROR(VLOOKUP($P97,'Rd1 PI'!$C$2:$AC$21,17,0),0)</f>
        <v>0</v>
      </c>
      <c r="G97" s="125">
        <f>_xlfn.IFERROR(VLOOKUP($P97,'Rd2 Winton'!$C$2:$AC$24,17,0),0)</f>
        <v>0</v>
      </c>
      <c r="H97" s="125">
        <f>_xlfn.IFERROR(VLOOKUP($P97,'Rd3 Winton IC'!$C$2:$AC$56,17,0),0)</f>
        <v>0</v>
      </c>
      <c r="I97" s="125">
        <f>_xlfn.IFERROR(VLOOKUP($P97,'Rd4 Sandown'!$C$2:$AC$30,17,0),0)</f>
        <v>0</v>
      </c>
      <c r="J97" s="125">
        <f>_xlfn.IFERROR(VLOOKUP($P97,'Rd5 Winton'!$C$2:$AC$29,17,0),0)</f>
        <v>0</v>
      </c>
      <c r="K97" s="125">
        <f>_xlfn.IFERROR(VLOOKUP($P97,#REF!,17,0),0)</f>
        <v>0</v>
      </c>
      <c r="L97" s="125">
        <f>_xlfn.IFERROR(VLOOKUP($P97,#REF!,17,0),0)</f>
        <v>0</v>
      </c>
      <c r="M97" s="125">
        <f>_xlfn.IFERROR(VLOOKUP($P97,#REF!,17,0),0)</f>
        <v>0</v>
      </c>
      <c r="N97" s="125">
        <f>_xlfn.IFERROR(VLOOKUP($P97,#REF!,17,0),0)</f>
        <v>0</v>
      </c>
      <c r="O97" s="125">
        <f>_xlfn.IFERROR(VLOOKUP($P97,#REF!,17,0),0)</f>
        <v>0</v>
      </c>
      <c r="P97" s="5" t="str">
        <f>CONCATENATE(LOWER(B97)," ",LOWER(C97))</f>
        <v> </v>
      </c>
    </row>
    <row r="98" spans="1:16" s="5" customFormat="1" ht="13.5" thickBot="1">
      <c r="A98" s="122">
        <v>5</v>
      </c>
      <c r="B98" s="128"/>
      <c r="C98" s="128"/>
      <c r="D98" s="123" t="s">
        <v>16</v>
      </c>
      <c r="E98" s="129">
        <f>SUM(F98:O98)-SMALL(F98:O98,2)-MIN(F98:O98)</f>
        <v>0</v>
      </c>
      <c r="F98" s="174">
        <f>_xlfn.IFERROR(VLOOKUP($P98,'Rd1 PI'!$C$2:$AC$21,17,0),0)</f>
        <v>0</v>
      </c>
      <c r="G98" s="125">
        <f>_xlfn.IFERROR(VLOOKUP($P98,'Rd2 Winton'!$C$2:$AC$24,17,0),0)</f>
        <v>0</v>
      </c>
      <c r="H98" s="125">
        <f>_xlfn.IFERROR(VLOOKUP($P98,'Rd3 Winton IC'!$C$2:$AC$56,17,0),0)</f>
        <v>0</v>
      </c>
      <c r="I98" s="125">
        <f>_xlfn.IFERROR(VLOOKUP($P98,'Rd4 Sandown'!$C$2:$AC$30,17,0),0)</f>
        <v>0</v>
      </c>
      <c r="J98" s="125">
        <f>_xlfn.IFERROR(VLOOKUP($P98,'Rd5 Winton'!$C$2:$AC$29,17,0),0)</f>
        <v>0</v>
      </c>
      <c r="K98" s="125">
        <f>_xlfn.IFERROR(VLOOKUP($P98,#REF!,17,0),0)</f>
        <v>0</v>
      </c>
      <c r="L98" s="125">
        <f>_xlfn.IFERROR(VLOOKUP($P98,#REF!,17,0),0)</f>
        <v>0</v>
      </c>
      <c r="M98" s="125">
        <f>_xlfn.IFERROR(VLOOKUP($P98,#REF!,17,0),0)</f>
        <v>0</v>
      </c>
      <c r="N98" s="125">
        <f>_xlfn.IFERROR(VLOOKUP($P98,#REF!,17,0),0)</f>
        <v>0</v>
      </c>
      <c r="O98" s="125">
        <f>_xlfn.IFERROR(VLOOKUP($P98,#REF!,17,0),0)</f>
        <v>0</v>
      </c>
      <c r="P98" s="5" t="str">
        <f>CONCATENATE(LOWER(B98)," ",LOWER(C98))</f>
        <v> </v>
      </c>
    </row>
    <row r="99" spans="1:17" ht="12.75">
      <c r="A99" s="3"/>
      <c r="B99" s="22"/>
      <c r="C99" s="22"/>
      <c r="D99" s="23"/>
      <c r="E99" s="24"/>
      <c r="F99" s="4"/>
      <c r="G99" s="4"/>
      <c r="H99" s="4"/>
      <c r="I99" s="23"/>
      <c r="J99" s="4"/>
      <c r="K99" s="4"/>
      <c r="L99" s="4"/>
      <c r="M99" s="4"/>
      <c r="N99" s="4"/>
      <c r="O99" s="4"/>
      <c r="P99" s="14"/>
      <c r="Q99" s="15"/>
    </row>
    <row r="100" spans="1:15" s="5" customFormat="1" ht="13.5" thickBot="1">
      <c r="A100" s="82" t="s">
        <v>11</v>
      </c>
      <c r="B100" s="66"/>
      <c r="C100" s="66"/>
      <c r="D100" s="23"/>
      <c r="E100" s="24"/>
      <c r="F100" s="4"/>
      <c r="G100" s="4"/>
      <c r="H100" s="4"/>
      <c r="I100" s="12"/>
      <c r="J100" s="12"/>
      <c r="K100" s="12"/>
      <c r="L100" s="4"/>
      <c r="M100" s="4"/>
      <c r="N100" s="4"/>
      <c r="O100" s="4"/>
    </row>
    <row r="101" spans="1:17" s="5" customFormat="1" ht="12.75">
      <c r="A101" s="72">
        <v>1</v>
      </c>
      <c r="B101" s="70" t="s">
        <v>199</v>
      </c>
      <c r="C101" s="70" t="s">
        <v>200</v>
      </c>
      <c r="D101" s="67" t="s">
        <v>13</v>
      </c>
      <c r="E101" s="96">
        <f>SUM(F101:O101)-SMALL(F101:O101,2)-MIN(F101:O101)</f>
        <v>310</v>
      </c>
      <c r="F101" s="166">
        <f>_xlfn.IFERROR(VLOOKUP($P101,'Rd1 PI'!$C$2:$AC$21,17,0),0)</f>
        <v>100</v>
      </c>
      <c r="G101" s="68">
        <f>_xlfn.IFERROR(VLOOKUP($P101,'Rd2 Winton'!$C$2:$AC$24,17,0),0)</f>
        <v>75</v>
      </c>
      <c r="H101" s="506">
        <f>_xlfn.IFERROR(VLOOKUP($P101,'Rd3 Winton IC'!$C$2:$AC$56,17,0),0)</f>
        <v>60</v>
      </c>
      <c r="I101" s="506">
        <f>_xlfn.IFERROR(VLOOKUP($P101,'Rd4 Sandown'!$C$2:$AC$30,17,0),0)</f>
        <v>75</v>
      </c>
      <c r="J101" s="506">
        <f>_xlfn.IFERROR(VLOOKUP($P101,'Rd5 Winton'!$C$2:$AC$29,17,0),0)</f>
        <v>0</v>
      </c>
      <c r="K101" s="68">
        <f>_xlfn.IFERROR(VLOOKUP($P101,#REF!,17,0),0)</f>
        <v>0</v>
      </c>
      <c r="L101" s="68">
        <f>_xlfn.IFERROR(VLOOKUP($P101,#REF!,17,0),0)</f>
        <v>0</v>
      </c>
      <c r="M101" s="68">
        <f>_xlfn.IFERROR(VLOOKUP($P101,#REF!,17,0),0)</f>
        <v>0</v>
      </c>
      <c r="N101" s="68">
        <f>_xlfn.IFERROR(VLOOKUP($P101,#REF!,17,0),0)</f>
        <v>0</v>
      </c>
      <c r="O101" s="68">
        <f>_xlfn.IFERROR(VLOOKUP($P101,#REF!,17,0),0)</f>
        <v>0</v>
      </c>
      <c r="P101" s="5" t="str">
        <f>CONCATENATE(LOWER(B101)," ",LOWER(C101))</f>
        <v>ray monik</v>
      </c>
      <c r="Q101" s="15"/>
    </row>
    <row r="102" spans="1:17" s="5" customFormat="1" ht="12.75">
      <c r="A102" s="72">
        <v>2</v>
      </c>
      <c r="B102" s="70" t="s">
        <v>183</v>
      </c>
      <c r="C102" s="70" t="s">
        <v>200</v>
      </c>
      <c r="D102" s="67" t="s">
        <v>13</v>
      </c>
      <c r="E102" s="97">
        <f>SUM(F102:O102)-SMALL(F102:O102,2)-MIN(F102:O102)</f>
        <v>200</v>
      </c>
      <c r="F102" s="166">
        <f>_xlfn.IFERROR(VLOOKUP($P102,'Rd1 PI'!$C$2:$AC$21,17,0),0)</f>
        <v>0</v>
      </c>
      <c r="G102" s="68">
        <f>_xlfn.IFERROR(VLOOKUP($P102,'Rd2 Winton'!$C$2:$AC$24,17,0),0)</f>
        <v>0</v>
      </c>
      <c r="H102" s="506">
        <f>_xlfn.IFERROR(VLOOKUP($P102,'Rd3 Winton IC'!$C$2:$AC$56,17,0),0)</f>
        <v>100</v>
      </c>
      <c r="I102" s="506">
        <f>_xlfn.IFERROR(VLOOKUP($P102,'Rd4 Sandown'!$C$2:$AC$30,17,0),0)</f>
        <v>100</v>
      </c>
      <c r="J102" s="506">
        <f>_xlfn.IFERROR(VLOOKUP($P102,'Rd5 Winton'!$C$2:$AC$29,17,0),0)</f>
        <v>0</v>
      </c>
      <c r="K102" s="68">
        <f>_xlfn.IFERROR(VLOOKUP($P102,#REF!,17,0),0)</f>
        <v>0</v>
      </c>
      <c r="L102" s="68">
        <f>_xlfn.IFERROR(VLOOKUP($P102,#REF!,17,0),0)</f>
        <v>0</v>
      </c>
      <c r="M102" s="68">
        <f>_xlfn.IFERROR(VLOOKUP($P102,#REF!,17,0),0)</f>
        <v>0</v>
      </c>
      <c r="N102" s="68">
        <f>_xlfn.IFERROR(VLOOKUP($P102,#REF!,17,0),0)</f>
        <v>0</v>
      </c>
      <c r="O102" s="68">
        <f>_xlfn.IFERROR(VLOOKUP($P102,#REF!,17,0),0)</f>
        <v>0</v>
      </c>
      <c r="P102" s="5" t="str">
        <f>CONCATENATE(LOWER(B102)," ",LOWER(C102))</f>
        <v>dean monik</v>
      </c>
      <c r="Q102" s="15"/>
    </row>
    <row r="103" spans="1:17" ht="12.75">
      <c r="A103" s="72">
        <v>3</v>
      </c>
      <c r="B103" s="70" t="s">
        <v>185</v>
      </c>
      <c r="C103" s="70" t="s">
        <v>186</v>
      </c>
      <c r="D103" s="67" t="s">
        <v>13</v>
      </c>
      <c r="E103" s="97">
        <f>SUM(F103:O103)-SMALL(F103:O103,2)-MIN(F103:O103)</f>
        <v>175</v>
      </c>
      <c r="F103" s="166">
        <f>_xlfn.IFERROR(VLOOKUP($P103,'Rd1 PI'!$C$2:$AC$21,17,0),0)</f>
        <v>0</v>
      </c>
      <c r="G103" s="68">
        <f>_xlfn.IFERROR(VLOOKUP($P103,'Rd2 Winton'!$C$2:$AC$24,17,0),0)</f>
        <v>100</v>
      </c>
      <c r="H103" s="506">
        <f>_xlfn.IFERROR(VLOOKUP($P103,'Rd3 Winton IC'!$C$2:$AC$56,17,0),0)</f>
        <v>75</v>
      </c>
      <c r="I103" s="506">
        <f>_xlfn.IFERROR(VLOOKUP($P103,'Rd4 Sandown'!$C$2:$AC$30,17,0),0)</f>
        <v>0</v>
      </c>
      <c r="J103" s="506">
        <f>_xlfn.IFERROR(VLOOKUP($P103,'Rd5 Winton'!$C$2:$AC$29,17,0),0)</f>
        <v>0</v>
      </c>
      <c r="K103" s="68">
        <f>_xlfn.IFERROR(VLOOKUP($P103,#REF!,17,0),0)</f>
        <v>0</v>
      </c>
      <c r="L103" s="68">
        <f>_xlfn.IFERROR(VLOOKUP($P103,#REF!,17,0),0)</f>
        <v>0</v>
      </c>
      <c r="M103" s="68">
        <f>_xlfn.IFERROR(VLOOKUP($P103,#REF!,17,0),0)</f>
        <v>0</v>
      </c>
      <c r="N103" s="68">
        <f>_xlfn.IFERROR(VLOOKUP($P103,#REF!,17,0),0)</f>
        <v>0</v>
      </c>
      <c r="O103" s="68">
        <f>_xlfn.IFERROR(VLOOKUP($P103,#REF!,17,0),0)</f>
        <v>0</v>
      </c>
      <c r="P103" s="5" t="str">
        <f>CONCATENATE(LOWER(B103)," ",LOWER(C103))</f>
        <v>paul ledwith</v>
      </c>
      <c r="Q103" s="5"/>
    </row>
    <row r="104" spans="1:17" ht="12.75">
      <c r="A104" s="73">
        <v>4</v>
      </c>
      <c r="B104" s="70" t="s">
        <v>29</v>
      </c>
      <c r="C104" s="70" t="s">
        <v>30</v>
      </c>
      <c r="D104" s="67" t="s">
        <v>13</v>
      </c>
      <c r="E104" s="97">
        <f>SUM(F104:O104)-SMALL(F104:O104,2)-MIN(F104:O104)</f>
        <v>165</v>
      </c>
      <c r="F104" s="166">
        <f>_xlfn.IFERROR(VLOOKUP($P104,'Rd1 PI'!$C$2:$AC$21,17,0),0)</f>
        <v>75</v>
      </c>
      <c r="G104" s="68">
        <f>_xlfn.IFERROR(VLOOKUP($P104,'Rd2 Winton'!$C$2:$AC$24,17,0),0)</f>
        <v>60</v>
      </c>
      <c r="H104" s="506">
        <f>_xlfn.IFERROR(VLOOKUP($P104,'Rd3 Winton IC'!$C$2:$AC$56,17,0),0)</f>
        <v>30</v>
      </c>
      <c r="I104" s="506">
        <f>_xlfn.IFERROR(VLOOKUP($P104,'Rd4 Sandown'!$C$2:$AC$30,17,0),0)</f>
        <v>0</v>
      </c>
      <c r="J104" s="506">
        <f>_xlfn.IFERROR(VLOOKUP($P104,'Rd5 Winton'!$C$2:$AC$29,17,0),0)</f>
        <v>0</v>
      </c>
      <c r="K104" s="68">
        <f>_xlfn.IFERROR(VLOOKUP($P104,#REF!,17,0),0)</f>
        <v>0</v>
      </c>
      <c r="L104" s="68">
        <f>_xlfn.IFERROR(VLOOKUP($P104,#REF!,17,0),0)</f>
        <v>0</v>
      </c>
      <c r="M104" s="68">
        <f>_xlfn.IFERROR(VLOOKUP($P104,#REF!,17,0),0)</f>
        <v>0</v>
      </c>
      <c r="N104" s="68">
        <f>_xlfn.IFERROR(VLOOKUP($P104,#REF!,17,0),0)</f>
        <v>0</v>
      </c>
      <c r="O104" s="68">
        <f>_xlfn.IFERROR(VLOOKUP($P104,#REF!,17,0),0)</f>
        <v>0</v>
      </c>
      <c r="P104" s="5" t="str">
        <f>CONCATENATE(LOWER(B104)," ",LOWER(C104))</f>
        <v>tim meaden</v>
      </c>
      <c r="Q104" s="5"/>
    </row>
    <row r="105" spans="1:17" ht="13.5" thickBot="1">
      <c r="A105" s="73">
        <v>5</v>
      </c>
      <c r="B105" s="115" t="s">
        <v>371</v>
      </c>
      <c r="C105" s="115" t="s">
        <v>372</v>
      </c>
      <c r="D105" s="67" t="s">
        <v>13</v>
      </c>
      <c r="E105" s="98">
        <f>SUM(F105:O105)-SMALL(F105:O105,2)-MIN(F105:O105)</f>
        <v>45</v>
      </c>
      <c r="F105" s="166">
        <f>_xlfn.IFERROR(VLOOKUP($P105,'Rd1 PI'!$C$2:$AC$21,17,0),0)</f>
        <v>0</v>
      </c>
      <c r="G105" s="68">
        <f>_xlfn.IFERROR(VLOOKUP($P105,'Rd2 Winton'!$C$2:$AC$24,17,0),0)</f>
        <v>0</v>
      </c>
      <c r="H105" s="506">
        <f>_xlfn.IFERROR(VLOOKUP($P105,'Rd3 Winton IC'!$C$2:$AC$56,17,0),0)</f>
        <v>45</v>
      </c>
      <c r="I105" s="506">
        <f>_xlfn.IFERROR(VLOOKUP($P105,'Rd4 Sandown'!$C$2:$AC$30,17,0),0)</f>
        <v>0</v>
      </c>
      <c r="J105" s="506">
        <f>_xlfn.IFERROR(VLOOKUP($P105,'Rd5 Winton'!$C$2:$AC$29,17,0),0)</f>
        <v>0</v>
      </c>
      <c r="K105" s="68">
        <f>_xlfn.IFERROR(VLOOKUP($P105,#REF!,17,0),0)</f>
        <v>0</v>
      </c>
      <c r="L105" s="68">
        <f>_xlfn.IFERROR(VLOOKUP($P105,#REF!,17,0),0)</f>
        <v>0</v>
      </c>
      <c r="M105" s="68">
        <f>_xlfn.IFERROR(VLOOKUP($P105,#REF!,17,0),0)</f>
        <v>0</v>
      </c>
      <c r="N105" s="68">
        <f>_xlfn.IFERROR(VLOOKUP($P105,#REF!,17,0),0)</f>
        <v>0</v>
      </c>
      <c r="O105" s="68">
        <f>_xlfn.IFERROR(VLOOKUP($P105,#REF!,17,0),0)</f>
        <v>0</v>
      </c>
      <c r="P105" s="5" t="str">
        <f>CONCATENATE(LOWER(B105)," ",LOWER(C105))</f>
        <v>kim cole</v>
      </c>
      <c r="Q105" s="15"/>
    </row>
    <row r="106" spans="1:15" ht="12.75">
      <c r="A106" s="29"/>
      <c r="B106" s="11"/>
      <c r="C106" s="11"/>
      <c r="F106" s="4"/>
      <c r="G106" s="370"/>
      <c r="H106" s="4"/>
      <c r="I106" s="12"/>
      <c r="J106" s="12"/>
      <c r="K106" s="12"/>
      <c r="L106" s="4"/>
      <c r="M106" s="4"/>
      <c r="N106" s="4"/>
      <c r="O106" s="4"/>
    </row>
    <row r="107" spans="1:15" s="5" customFormat="1" ht="13.5" thickBot="1">
      <c r="A107" s="59" t="s">
        <v>10</v>
      </c>
      <c r="B107" s="49"/>
      <c r="C107" s="49"/>
      <c r="D107" s="7"/>
      <c r="E107" s="24"/>
      <c r="F107" s="4"/>
      <c r="G107" s="370"/>
      <c r="H107" s="4"/>
      <c r="I107" s="12"/>
      <c r="J107" s="12"/>
      <c r="K107" s="12"/>
      <c r="L107" s="4"/>
      <c r="M107" s="4"/>
      <c r="N107" s="4"/>
      <c r="O107" s="4"/>
    </row>
    <row r="108" spans="1:16" s="5" customFormat="1" ht="12.75">
      <c r="A108" s="60">
        <v>1</v>
      </c>
      <c r="B108" s="61" t="s">
        <v>81</v>
      </c>
      <c r="C108" s="61" t="s">
        <v>146</v>
      </c>
      <c r="D108" s="58" t="s">
        <v>14</v>
      </c>
      <c r="E108" s="99">
        <f>SUM(F108:O108)-SMALL(F108:O108,2)-MIN(F108:O108)</f>
        <v>100</v>
      </c>
      <c r="F108" s="164">
        <f>_xlfn.IFERROR(VLOOKUP($P108,'Rd1 PI'!$C$2:$AC$21,17,0),0)</f>
        <v>100</v>
      </c>
      <c r="G108" s="57">
        <f>_xlfn.IFERROR(VLOOKUP($P108,'Rd2 Winton'!$C$2:$AC$24,17,0),0)</f>
        <v>0</v>
      </c>
      <c r="H108" s="57">
        <f>_xlfn.IFERROR(VLOOKUP($P108,'Rd3 Winton IC'!$C$2:$AC$56,17,0),0)</f>
        <v>0</v>
      </c>
      <c r="I108" s="57">
        <f>_xlfn.IFERROR(VLOOKUP($P108,'Rd4 Sandown'!$C$2:$AC$30,17,0),0)</f>
        <v>0</v>
      </c>
      <c r="J108" s="57">
        <f>_xlfn.IFERROR(VLOOKUP($P108,'Rd5 Winton'!$C$2:$AC$29,17,0),0)</f>
        <v>0</v>
      </c>
      <c r="K108" s="57">
        <f>_xlfn.IFERROR(VLOOKUP($P108,#REF!,17,0),0)</f>
        <v>0</v>
      </c>
      <c r="L108" s="57">
        <f>_xlfn.IFERROR(VLOOKUP($P108,#REF!,17,0),0)</f>
        <v>0</v>
      </c>
      <c r="M108" s="57">
        <f>_xlfn.IFERROR(VLOOKUP($P108,#REF!,17,0),0)</f>
        <v>0</v>
      </c>
      <c r="N108" s="57">
        <f>_xlfn.IFERROR(VLOOKUP($P108,#REF!,17,0),0)</f>
        <v>0</v>
      </c>
      <c r="O108" s="57">
        <f>_xlfn.IFERROR(VLOOKUP($P108,#REF!,17,0),0)</f>
        <v>0</v>
      </c>
      <c r="P108" s="5" t="str">
        <f>CONCATENATE(LOWER(B108)," ",LOWER(C108))</f>
        <v>john vaughan</v>
      </c>
    </row>
    <row r="109" spans="1:16" s="5" customFormat="1" ht="12.75">
      <c r="A109" s="60">
        <v>2</v>
      </c>
      <c r="B109" s="116" t="s">
        <v>427</v>
      </c>
      <c r="C109" s="116" t="s">
        <v>428</v>
      </c>
      <c r="D109" s="58" t="s">
        <v>14</v>
      </c>
      <c r="E109" s="100">
        <f>SUM(F109:O109)-SMALL(F109:O109,2)-MIN(F109:O109)</f>
        <v>100</v>
      </c>
      <c r="F109" s="164">
        <f>_xlfn.IFERROR(VLOOKUP($P109,'Rd1 PI'!$C$2:$AC$21,17,0),0)</f>
        <v>0</v>
      </c>
      <c r="G109" s="57">
        <f>_xlfn.IFERROR(VLOOKUP($P109,'Rd2 Winton'!$C$2:$AC$24,17,0),0)</f>
        <v>0</v>
      </c>
      <c r="H109" s="57">
        <f>_xlfn.IFERROR(VLOOKUP($P109,'Rd3 Winton IC'!$C$2:$AC$56,17,0),0)</f>
        <v>0</v>
      </c>
      <c r="I109" s="57">
        <f>_xlfn.IFERROR(VLOOKUP($P109,'Rd4 Sandown'!$C$2:$AC$30,17,0),0)</f>
        <v>100</v>
      </c>
      <c r="J109" s="57">
        <f>_xlfn.IFERROR(VLOOKUP($P109,'Rd5 Winton'!$C$2:$AC$29,17,0),0)</f>
        <v>0</v>
      </c>
      <c r="K109" s="57">
        <f>_xlfn.IFERROR(VLOOKUP($P109,#REF!,17,0),0)</f>
        <v>0</v>
      </c>
      <c r="L109" s="57">
        <f>_xlfn.IFERROR(VLOOKUP($P109,#REF!,17,0),0)</f>
        <v>0</v>
      </c>
      <c r="M109" s="57">
        <f>_xlfn.IFERROR(VLOOKUP($P109,#REF!,17,0),0)</f>
        <v>0</v>
      </c>
      <c r="N109" s="57">
        <f>_xlfn.IFERROR(VLOOKUP($P109,#REF!,17,0),0)</f>
        <v>0</v>
      </c>
      <c r="O109" s="57">
        <f>_xlfn.IFERROR(VLOOKUP($P109,#REF!,17,0),0)</f>
        <v>0</v>
      </c>
      <c r="P109" s="5" t="str">
        <f>CONCATENATE(LOWER(B109)," ",LOWER(C109))</f>
        <v>brendan beavis</v>
      </c>
    </row>
    <row r="110" spans="1:16" s="5" customFormat="1" ht="12.75">
      <c r="A110" s="60">
        <v>3</v>
      </c>
      <c r="B110" s="116"/>
      <c r="C110" s="116"/>
      <c r="D110" s="58" t="s">
        <v>14</v>
      </c>
      <c r="E110" s="100">
        <f>SUM(F110:O110)-SMALL(F110:O110,2)-MIN(F110:O110)</f>
        <v>0</v>
      </c>
      <c r="F110" s="164">
        <f>_xlfn.IFERROR(VLOOKUP($P110,'Rd1 PI'!$C$2:$AC$21,17,0),0)</f>
        <v>0</v>
      </c>
      <c r="G110" s="57">
        <f>_xlfn.IFERROR(VLOOKUP($P110,'Rd2 Winton'!$C$2:$AC$24,17,0),0)</f>
        <v>0</v>
      </c>
      <c r="H110" s="57">
        <f>_xlfn.IFERROR(VLOOKUP($P110,'Rd3 Winton IC'!$C$2:$AC$56,17,0),0)</f>
        <v>0</v>
      </c>
      <c r="I110" s="57">
        <f>_xlfn.IFERROR(VLOOKUP($P110,'Rd4 Sandown'!$C$2:$AC$30,17,0),0)</f>
        <v>0</v>
      </c>
      <c r="J110" s="57">
        <f>_xlfn.IFERROR(VLOOKUP($P110,'Rd5 Winton'!$C$2:$AC$29,17,0),0)</f>
        <v>0</v>
      </c>
      <c r="K110" s="57">
        <f>_xlfn.IFERROR(VLOOKUP($P110,#REF!,17,0),0)</f>
        <v>0</v>
      </c>
      <c r="L110" s="57">
        <f>_xlfn.IFERROR(VLOOKUP($P110,#REF!,17,0),0)</f>
        <v>0</v>
      </c>
      <c r="M110" s="57">
        <f>_xlfn.IFERROR(VLOOKUP($P110,#REF!,17,0),0)</f>
        <v>0</v>
      </c>
      <c r="N110" s="57">
        <f>_xlfn.IFERROR(VLOOKUP($P110,#REF!,17,0),0)</f>
        <v>0</v>
      </c>
      <c r="O110" s="57">
        <f>_xlfn.IFERROR(VLOOKUP($P110,#REF!,17,0),0)</f>
        <v>0</v>
      </c>
      <c r="P110" s="5" t="str">
        <f>CONCATENATE(LOWER(B110)," ",LOWER(C110))</f>
        <v> </v>
      </c>
    </row>
    <row r="111" spans="1:16" s="5" customFormat="1" ht="12.75">
      <c r="A111" s="60">
        <v>4</v>
      </c>
      <c r="B111" s="61"/>
      <c r="C111" s="61"/>
      <c r="D111" s="58" t="s">
        <v>14</v>
      </c>
      <c r="E111" s="100">
        <f>SUM(F111:O111)-SMALL(F111:O111,2)-MIN(F111:O111)</f>
        <v>0</v>
      </c>
      <c r="F111" s="164">
        <f>_xlfn.IFERROR(VLOOKUP($P111,'Rd1 PI'!$C$2:$AC$21,17,0),0)</f>
        <v>0</v>
      </c>
      <c r="G111" s="57">
        <f>_xlfn.IFERROR(VLOOKUP($P111,'Rd2 Winton'!$C$2:$AC$24,17,0),0)</f>
        <v>0</v>
      </c>
      <c r="H111" s="57">
        <f>_xlfn.IFERROR(VLOOKUP($P111,'Rd3 Winton IC'!$C$2:$AC$56,17,0),0)</f>
        <v>0</v>
      </c>
      <c r="I111" s="57">
        <f>_xlfn.IFERROR(VLOOKUP($P111,'Rd4 Sandown'!$C$2:$AC$30,17,0),0)</f>
        <v>0</v>
      </c>
      <c r="J111" s="57">
        <f>_xlfn.IFERROR(VLOOKUP($P111,'Rd5 Winton'!$C$2:$AC$29,17,0),0)</f>
        <v>0</v>
      </c>
      <c r="K111" s="57">
        <f>_xlfn.IFERROR(VLOOKUP($P111,#REF!,17,0),0)</f>
        <v>0</v>
      </c>
      <c r="L111" s="57">
        <f>_xlfn.IFERROR(VLOOKUP($P111,#REF!,17,0),0)</f>
        <v>0</v>
      </c>
      <c r="M111" s="57">
        <f>_xlfn.IFERROR(VLOOKUP($P111,#REF!,17,0),0)</f>
        <v>0</v>
      </c>
      <c r="N111" s="57">
        <f>_xlfn.IFERROR(VLOOKUP($P111,#REF!,17,0),0)</f>
        <v>0</v>
      </c>
      <c r="O111" s="57">
        <f>_xlfn.IFERROR(VLOOKUP($P111,#REF!,17,0),0)</f>
        <v>0</v>
      </c>
      <c r="P111" s="5" t="str">
        <f>CONCATENATE(LOWER(B111)," ",LOWER(C111))</f>
        <v> </v>
      </c>
    </row>
    <row r="112" spans="1:16" s="5" customFormat="1" ht="13.5" thickBot="1">
      <c r="A112" s="60">
        <v>5</v>
      </c>
      <c r="B112" s="61"/>
      <c r="C112" s="61"/>
      <c r="D112" s="58" t="s">
        <v>14</v>
      </c>
      <c r="E112" s="101">
        <f>SUM(F112:O112)-SMALL(F112:O112,2)-MIN(F112:O112)</f>
        <v>0</v>
      </c>
      <c r="F112" s="164">
        <f>_xlfn.IFERROR(VLOOKUP($P112,'Rd1 PI'!$C$2:$AC$21,17,0),0)</f>
        <v>0</v>
      </c>
      <c r="G112" s="57">
        <f>_xlfn.IFERROR(VLOOKUP($P112,'Rd2 Winton'!$C$2:$AC$24,17,0),0)</f>
        <v>0</v>
      </c>
      <c r="H112" s="57">
        <f>_xlfn.IFERROR(VLOOKUP($P112,'Rd3 Winton IC'!$C$2:$AC$56,17,0),0)</f>
        <v>0</v>
      </c>
      <c r="I112" s="57">
        <f>_xlfn.IFERROR(VLOOKUP($P112,'Rd4 Sandown'!$C$2:$AC$30,17,0),0)</f>
        <v>0</v>
      </c>
      <c r="J112" s="57">
        <f>_xlfn.IFERROR(VLOOKUP($P112,'Rd5 Winton'!$C$2:$AC$29,17,0),0)</f>
        <v>0</v>
      </c>
      <c r="K112" s="57">
        <f>_xlfn.IFERROR(VLOOKUP($P112,#REF!,17,0),0)</f>
        <v>0</v>
      </c>
      <c r="L112" s="57">
        <f>_xlfn.IFERROR(VLOOKUP($P112,#REF!,17,0),0)</f>
        <v>0</v>
      </c>
      <c r="M112" s="57">
        <f>_xlfn.IFERROR(VLOOKUP($P112,#REF!,17,0),0)</f>
        <v>0</v>
      </c>
      <c r="N112" s="57">
        <f>_xlfn.IFERROR(VLOOKUP($P112,#REF!,17,0),0)</f>
        <v>0</v>
      </c>
      <c r="O112" s="57">
        <f>_xlfn.IFERROR(VLOOKUP($P112,#REF!,17,0),0)</f>
        <v>0</v>
      </c>
      <c r="P112" s="5" t="str">
        <f>CONCATENATE(LOWER(B112)," ",LOWER(C112))</f>
        <v> </v>
      </c>
    </row>
    <row r="113" spans="2:3" ht="12.75">
      <c r="B113" s="6"/>
      <c r="C113" s="6"/>
    </row>
    <row r="114" ht="12.75">
      <c r="D114" s="17"/>
    </row>
    <row r="115" spans="4:12" ht="12.75">
      <c r="D115" s="28"/>
      <c r="E115" s="24"/>
      <c r="G115" s="20"/>
      <c r="H115" s="20"/>
      <c r="I115" s="20"/>
      <c r="J115" s="2"/>
      <c r="K115" s="20"/>
      <c r="L115" s="20"/>
    </row>
    <row r="116" spans="1:4" ht="12.75">
      <c r="A116" s="29"/>
      <c r="D116" s="17"/>
    </row>
    <row r="117" spans="2:4" ht="12.75">
      <c r="B117" s="21"/>
      <c r="C117" s="21"/>
      <c r="D117" s="17"/>
    </row>
    <row r="118" ht="12.75">
      <c r="D118" s="17"/>
    </row>
    <row r="119" ht="12.75">
      <c r="D119" s="17"/>
    </row>
    <row r="120" spans="2:4" ht="12.75">
      <c r="B120" s="6"/>
      <c r="C120" s="6"/>
      <c r="D120" s="17"/>
    </row>
    <row r="121" spans="1:4" ht="12.75">
      <c r="A121" s="29"/>
      <c r="B121" s="5"/>
      <c r="C121" s="5"/>
      <c r="D121" s="17"/>
    </row>
    <row r="122" spans="1:11" ht="12.75">
      <c r="A122" s="29"/>
      <c r="D122" s="17"/>
      <c r="G122" s="2"/>
      <c r="H122" s="2"/>
      <c r="I122" s="2"/>
      <c r="J122" s="2"/>
      <c r="K122" s="20"/>
    </row>
    <row r="123" spans="1:3" ht="12.75">
      <c r="A123" s="29"/>
      <c r="B123" s="21"/>
      <c r="C123" s="21"/>
    </row>
    <row r="124" spans="1:4" ht="12.75">
      <c r="A124" s="29"/>
      <c r="D124" s="17"/>
    </row>
    <row r="125" ht="12.75">
      <c r="A125" s="29"/>
    </row>
    <row r="126" ht="12.75">
      <c r="D126" s="17"/>
    </row>
    <row r="127" spans="1:4" ht="12.75">
      <c r="A127" s="29"/>
      <c r="D127" s="17"/>
    </row>
    <row r="128" spans="1:5" ht="12.75">
      <c r="A128" s="29"/>
      <c r="D128" s="7"/>
      <c r="E128" s="24"/>
    </row>
    <row r="129" spans="1:4" ht="12.75">
      <c r="A129" s="29"/>
      <c r="D129" s="17"/>
    </row>
    <row r="130" spans="1:5" ht="12.75">
      <c r="A130" s="29"/>
      <c r="D130" s="7"/>
      <c r="E130" s="24"/>
    </row>
    <row r="131" ht="12.75">
      <c r="A131" s="29"/>
    </row>
    <row r="132" ht="12.75">
      <c r="A132" s="29"/>
    </row>
    <row r="133" ht="12.75">
      <c r="A133" s="29"/>
    </row>
    <row r="134" ht="12.75">
      <c r="A134" s="29"/>
    </row>
    <row r="135" spans="1:3" ht="12.75">
      <c r="A135" s="29"/>
      <c r="B135" s="11"/>
      <c r="C135" s="11"/>
    </row>
    <row r="136" spans="1:5" ht="12.75">
      <c r="A136" s="29"/>
      <c r="D136" s="12"/>
      <c r="E136"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23" t="s">
        <v>108</v>
      </c>
      <c r="AF1" s="623"/>
      <c r="AG1" s="623"/>
    </row>
    <row r="2" spans="1:33" ht="12.75">
      <c r="A2" s="169">
        <v>103</v>
      </c>
      <c r="B2" s="170" t="s">
        <v>106</v>
      </c>
      <c r="C2" s="317" t="str">
        <f>LOWER(B2)</f>
        <v>russell garner</v>
      </c>
      <c r="D2" s="443" t="s">
        <v>16</v>
      </c>
      <c r="E2" s="332"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38">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8">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39" t="str">
        <f t="shared" si="4"/>
        <v>n/a</v>
      </c>
      <c r="Y3" s="196" t="str">
        <f t="shared" si="5"/>
        <v>n/a</v>
      </c>
      <c r="Z3" s="196">
        <f>IF($Y3="n/a","",_xlfn.IFERROR(COUNTIF($Y$2:$Y3,"="&amp;Y3),""))</f>
      </c>
      <c r="AA3" s="196">
        <f>COUNTIF($X$2:X2,"&lt;"&amp;X3)</f>
        <v>0</v>
      </c>
      <c r="AB3" s="206">
        <f t="shared" si="6"/>
        <v>0</v>
      </c>
      <c r="AC3" s="212">
        <f t="shared" si="7"/>
        <v>0</v>
      </c>
      <c r="AE3" s="252" t="s">
        <v>5</v>
      </c>
      <c r="AF3" s="299" t="s">
        <v>77</v>
      </c>
      <c r="AG3" s="434"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39">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39">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39">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_xlfn.IFERROR(VLOOKUP(D7,BenchmarksRd6,3,0)*86400,"")</f>
        <v>117.688</v>
      </c>
      <c r="V7" s="278">
        <f t="shared" si="9"/>
        <v>1.793999999999997</v>
      </c>
      <c r="W7" s="156">
        <f t="shared" si="3"/>
        <v>0</v>
      </c>
      <c r="X7" s="439">
        <f t="shared" si="4"/>
        <v>4</v>
      </c>
      <c r="Y7" s="196">
        <f t="shared" si="5"/>
        <v>7</v>
      </c>
      <c r="Z7" s="196">
        <f>IF($Y7="n/a","",_xlfn.IFERROR(COUNTIF($Y$2:$Y7,"="&amp;Y7),""))</f>
        <v>1</v>
      </c>
      <c r="AA7" s="196">
        <f>COUNTIF($X$2:X6,"&lt;"&amp;X7)</f>
        <v>0</v>
      </c>
      <c r="AB7" s="206">
        <f t="shared" si="6"/>
        <v>100</v>
      </c>
      <c r="AC7" s="212">
        <f t="shared" si="7"/>
        <v>100</v>
      </c>
      <c r="AE7" s="256" t="s">
        <v>21</v>
      </c>
      <c r="AF7" s="303" t="s">
        <v>111</v>
      </c>
      <c r="AG7" s="435" t="s">
        <v>160</v>
      </c>
    </row>
    <row r="8" spans="1:33" ht="12.75">
      <c r="A8" s="348">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39" t="str">
        <f t="shared" si="4"/>
        <v>n/a</v>
      </c>
      <c r="Y8" s="196" t="str">
        <f t="shared" si="5"/>
        <v>n/a</v>
      </c>
      <c r="Z8" s="196">
        <f>IF($Y8="n/a","",_xlfn.IFERROR(COUNTIF($Y$2:$Y8,"="&amp;Y8),""))</f>
      </c>
      <c r="AA8" s="196">
        <f>COUNTIF($X$2:X7,"&lt;"&amp;X8)</f>
        <v>0</v>
      </c>
      <c r="AB8" s="206">
        <f t="shared" si="6"/>
        <v>0</v>
      </c>
      <c r="AC8" s="212">
        <f t="shared" si="7"/>
        <v>0</v>
      </c>
      <c r="AE8" s="257" t="s">
        <v>51</v>
      </c>
      <c r="AF8" s="309" t="s">
        <v>88</v>
      </c>
      <c r="AG8" s="436" t="s">
        <v>159</v>
      </c>
    </row>
    <row r="9" spans="1:33" ht="12.75">
      <c r="A9" s="348">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39" t="str">
        <f t="shared" si="4"/>
        <v>n/a</v>
      </c>
      <c r="Y9" s="196" t="str">
        <f t="shared" si="5"/>
        <v>n/a</v>
      </c>
      <c r="Z9" s="196">
        <f>IF($Y9="n/a","",_xlfn.IFERROR(COUNTIF($Y$2:$Y9,"="&amp;Y9),""))</f>
      </c>
      <c r="AA9" s="196">
        <f>COUNTIF($X$2:X8,"&lt;"&amp;X9)</f>
        <v>0</v>
      </c>
      <c r="AB9" s="206">
        <f t="shared" si="6"/>
        <v>0</v>
      </c>
      <c r="AC9" s="212">
        <f t="shared" si="7"/>
        <v>0</v>
      </c>
      <c r="AE9" s="258" t="s">
        <v>52</v>
      </c>
      <c r="AF9" s="310" t="s">
        <v>74</v>
      </c>
      <c r="AG9" s="437"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39">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39">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39">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39">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39">
        <f t="shared" si="4"/>
        <v>1</v>
      </c>
      <c r="Y14" s="196">
        <f t="shared" si="5"/>
        <v>2</v>
      </c>
      <c r="Z14" s="196">
        <f>IF($Y14="n/a","",_xlfn.IFERROR(COUNTIF($Y$2:$Y14,"="&amp;Y14),""))</f>
        <v>1</v>
      </c>
      <c r="AA14" s="196">
        <f>COUNTIF($X$2:X13,"&lt;"&amp;X14)</f>
        <v>0</v>
      </c>
      <c r="AB14" s="206">
        <f t="shared" si="6"/>
        <v>100</v>
      </c>
      <c r="AC14" s="212">
        <f t="shared" si="7"/>
        <v>95</v>
      </c>
    </row>
    <row r="15" spans="1:29" ht="12.75">
      <c r="A15" s="348">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39" t="str">
        <f t="shared" si="4"/>
        <v>n/a</v>
      </c>
      <c r="Y15" s="196" t="str">
        <f t="shared" si="5"/>
        <v>n/a</v>
      </c>
      <c r="Z15" s="196">
        <f>IF($Y15="n/a","",_xlfn.IFERROR(COUNTIF($Y$2:$Y15,"="&amp;Y15),""))</f>
      </c>
      <c r="AA15" s="196">
        <f>COUNTIF($X$2:X14,"&lt;"&amp;X15)</f>
        <v>0</v>
      </c>
      <c r="AB15" s="206">
        <f t="shared" si="6"/>
        <v>0</v>
      </c>
      <c r="AC15" s="212">
        <f t="shared" si="7"/>
        <v>0</v>
      </c>
    </row>
    <row r="16" spans="1:29" ht="12.75">
      <c r="A16" s="348">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39" t="str">
        <f t="shared" si="4"/>
        <v>n/a</v>
      </c>
      <c r="Y16" s="196" t="str">
        <f t="shared" si="5"/>
        <v>n/a</v>
      </c>
      <c r="Z16" s="196">
        <f>IF($Y16="n/a","",_xlfn.IFERROR(COUNTIF($Y$2:$Y16,"="&amp;Y16),""))</f>
      </c>
      <c r="AA16" s="196">
        <f>COUNTIF($X$2:X15,"&lt;"&amp;X16)</f>
        <v>0</v>
      </c>
      <c r="AB16" s="206">
        <f t="shared" si="6"/>
        <v>0</v>
      </c>
      <c r="AC16" s="212">
        <f t="shared" si="7"/>
        <v>0</v>
      </c>
    </row>
    <row r="17" spans="1:29" ht="12.75">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3">
        <f t="shared" si="9"/>
        <v>5.521000000000001</v>
      </c>
      <c r="W17" s="108">
        <f t="shared" si="3"/>
        <v>-10</v>
      </c>
      <c r="X17" s="439">
        <f t="shared" si="4"/>
        <v>1</v>
      </c>
      <c r="Y17" s="196">
        <f t="shared" si="5"/>
        <v>2</v>
      </c>
      <c r="Z17" s="196">
        <f>IF($Y17="n/a","",_xlfn.IFERROR(COUNTIF($Y$2:$Y17,"="&amp;Y17),""))</f>
        <v>2</v>
      </c>
      <c r="AA17" s="196">
        <f>COUNTIF($X$2:X16,"&lt;"&amp;X17)</f>
        <v>0</v>
      </c>
      <c r="AB17" s="206">
        <f t="shared" si="6"/>
        <v>75</v>
      </c>
      <c r="AC17" s="212">
        <f t="shared" si="7"/>
        <v>65</v>
      </c>
    </row>
    <row r="18" spans="1:29" ht="12.75">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39">
        <f t="shared" si="4"/>
        <v>1</v>
      </c>
      <c r="Y18" s="196">
        <f t="shared" si="5"/>
        <v>2</v>
      </c>
      <c r="Z18" s="196">
        <f>IF($Y18="n/a","",_xlfn.IFERROR(COUNTIF($Y$2:$Y18,"="&amp;Y18),""))</f>
        <v>3</v>
      </c>
      <c r="AA18" s="196">
        <f>COUNTIF($X$2:X17,"&lt;"&amp;X18)</f>
        <v>0</v>
      </c>
      <c r="AB18" s="206">
        <f t="shared" si="6"/>
        <v>60</v>
      </c>
      <c r="AC18" s="212">
        <f t="shared" si="7"/>
        <v>50</v>
      </c>
    </row>
    <row r="19" spans="1:29" ht="12.75">
      <c r="A19" s="348">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39" t="str">
        <f t="shared" si="4"/>
        <v>n/a</v>
      </c>
      <c r="Y19" s="196" t="str">
        <f t="shared" si="5"/>
        <v>n/a</v>
      </c>
      <c r="Z19" s="196">
        <f>IF($Y19="n/a","",_xlfn.IFERROR(COUNTIF($Y$2:$Y19,"="&amp;Y19),""))</f>
      </c>
      <c r="AA19" s="196">
        <f>COUNTIF($X$2:X18,"&lt;"&amp;X19)</f>
        <v>0</v>
      </c>
      <c r="AB19" s="206">
        <f t="shared" si="6"/>
        <v>0</v>
      </c>
      <c r="AC19" s="212">
        <f t="shared" si="7"/>
        <v>0</v>
      </c>
    </row>
    <row r="20" spans="1:29" ht="12.75">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39">
        <f t="shared" si="4"/>
        <v>1</v>
      </c>
      <c r="Y20" s="196">
        <f t="shared" si="5"/>
        <v>2</v>
      </c>
      <c r="Z20" s="196">
        <f>IF($Y20="n/a","",_xlfn.IFERROR(COUNTIF($Y$2:$Y20,"="&amp;Y20),""))</f>
        <v>4</v>
      </c>
      <c r="AA20" s="196">
        <f>COUNTIF($X$2:X19,"&lt;"&amp;X20)</f>
        <v>0</v>
      </c>
      <c r="AB20" s="206">
        <f t="shared" si="6"/>
        <v>45</v>
      </c>
      <c r="AC20" s="212">
        <f t="shared" si="7"/>
        <v>35</v>
      </c>
    </row>
    <row r="21" spans="1:33" ht="13.5" thickBot="1">
      <c r="A21" s="362">
        <v>65</v>
      </c>
      <c r="B21" s="272" t="s">
        <v>109</v>
      </c>
      <c r="C21" s="272" t="str">
        <f t="shared" si="8"/>
        <v>peter whitaker</v>
      </c>
      <c r="D21" s="361" t="s">
        <v>26</v>
      </c>
      <c r="E21" s="331"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40" t="str">
        <f t="shared" si="4"/>
        <v>n/a</v>
      </c>
      <c r="Y21" s="441" t="str">
        <f t="shared" si="5"/>
        <v>n/a</v>
      </c>
      <c r="Z21" s="441">
        <f>IF($Y21="n/a","",_xlfn.IFERROR(COUNTIF($Y$2:$Y21,"="&amp;Y21),""))</f>
      </c>
      <c r="AA21" s="441">
        <f>COUNTIF($X$2:X20,"&lt;"&amp;X21)</f>
        <v>0</v>
      </c>
      <c r="AB21" s="442">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75">
      <c r="T23" s="8"/>
      <c r="U23" s="8"/>
      <c r="V23" s="204"/>
      <c r="W23" s="8"/>
      <c r="X23" s="8"/>
      <c r="Y23" s="8"/>
      <c r="Z23" s="8"/>
      <c r="AA23" s="8"/>
      <c r="AB23" s="8"/>
      <c r="AC23" s="8"/>
    </row>
    <row r="24" spans="2:28" ht="12.75">
      <c r="B24" s="2"/>
      <c r="C24" s="2"/>
      <c r="D24" s="111"/>
      <c r="T24" s="111"/>
      <c r="X24" s="111"/>
      <c r="Y24" s="111"/>
      <c r="Z24" s="111"/>
      <c r="AA24" s="111"/>
      <c r="AB24" s="111"/>
    </row>
  </sheetData>
  <sheetProtection/>
  <mergeCells count="1">
    <mergeCell ref="AE1:AG1"/>
  </mergeCells>
  <conditionalFormatting sqref="B2">
    <cfRule type="expression" priority="67" dxfId="56" stopIfTrue="1">
      <formula>"IF(D2=""OPN"",0,1)"</formula>
    </cfRule>
    <cfRule type="expression" priority="68" dxfId="55" stopIfTrue="1">
      <formula>"if(d2=""OPN"")"</formula>
    </cfRule>
  </conditionalFormatting>
  <conditionalFormatting sqref="D2:D3 D5:D10">
    <cfRule type="containsText" priority="56" dxfId="10" operator="containsText" stopIfTrue="1" text="OPN">
      <formula>NOT(ISERROR(SEARCH("OPN",D2)))</formula>
    </cfRule>
    <cfRule type="containsText" priority="57" dxfId="9" operator="containsText" stopIfTrue="1" text="RES">
      <formula>NOT(ISERROR(SEARCH("RES",D2)))</formula>
    </cfRule>
    <cfRule type="containsText" priority="58" dxfId="8" operator="containsText" stopIfTrue="1" text="SMOD">
      <formula>NOT(ISERROR(SEARCH("SMOD",D2)))</formula>
    </cfRule>
    <cfRule type="containsText" priority="59" dxfId="7" operator="containsText" stopIfTrue="1" text="CDMOD">
      <formula>NOT(ISERROR(SEARCH("CDMOD",D2)))</formula>
    </cfRule>
    <cfRule type="containsText" priority="60" dxfId="6" operator="containsText" stopIfTrue="1" text="ABMOD">
      <formula>NOT(ISERROR(SEARCH("ABMOD",D2)))</formula>
    </cfRule>
    <cfRule type="containsText" priority="61" dxfId="5" operator="containsText" stopIfTrue="1" text="SND">
      <formula>NOT(ISERROR(SEARCH("SND",D2)))</formula>
    </cfRule>
    <cfRule type="containsText" priority="62" dxfId="4" operator="containsText" stopIfTrue="1" text="SNC">
      <formula>NOT(ISERROR(SEARCH("SNC",D2)))</formula>
    </cfRule>
    <cfRule type="containsText" priority="63" dxfId="3" operator="containsText" stopIfTrue="1" text="NBC">
      <formula>NOT(ISERROR(SEARCH("NBC",D2)))</formula>
    </cfRule>
    <cfRule type="containsText" priority="64" dxfId="2" operator="containsText" stopIfTrue="1" text="NAC">
      <formula>NOT(ISERROR(SEARCH("NAC",D2)))</formula>
    </cfRule>
    <cfRule type="containsText" priority="65" dxfId="1" operator="containsText" stopIfTrue="1" text="SNB">
      <formula>NOT(ISERROR(SEARCH("SNB",D2)))</formula>
    </cfRule>
    <cfRule type="containsText" priority="66" dxfId="0" operator="containsText" stopIfTrue="1" text="SNA">
      <formula>NOT(ISERROR(SEARCH("SNA",D2)))</formula>
    </cfRule>
  </conditionalFormatting>
  <conditionalFormatting sqref="D11:D16 D18">
    <cfRule type="containsText" priority="45" dxfId="10" operator="containsText" stopIfTrue="1" text="OPN">
      <formula>NOT(ISERROR(SEARCH("OPN",D11)))</formula>
    </cfRule>
    <cfRule type="containsText" priority="46" dxfId="9" operator="containsText" stopIfTrue="1" text="RES">
      <formula>NOT(ISERROR(SEARCH("RES",D11)))</formula>
    </cfRule>
    <cfRule type="containsText" priority="47" dxfId="8" operator="containsText" stopIfTrue="1" text="SMOD">
      <formula>NOT(ISERROR(SEARCH("SMOD",D11)))</formula>
    </cfRule>
    <cfRule type="containsText" priority="48" dxfId="7" operator="containsText" stopIfTrue="1" text="CDMOD">
      <formula>NOT(ISERROR(SEARCH("CDMOD",D11)))</formula>
    </cfRule>
    <cfRule type="containsText" priority="49" dxfId="6" operator="containsText" stopIfTrue="1" text="ABMOD">
      <formula>NOT(ISERROR(SEARCH("ABMOD",D11)))</formula>
    </cfRule>
    <cfRule type="containsText" priority="50" dxfId="5" operator="containsText" stopIfTrue="1" text="SND">
      <formula>NOT(ISERROR(SEARCH("SND",D11)))</formula>
    </cfRule>
    <cfRule type="containsText" priority="51" dxfId="4" operator="containsText" stopIfTrue="1" text="SNC">
      <formula>NOT(ISERROR(SEARCH("SNC",D11)))</formula>
    </cfRule>
    <cfRule type="containsText" priority="52" dxfId="3" operator="containsText" stopIfTrue="1" text="NBC">
      <formula>NOT(ISERROR(SEARCH("NBC",D11)))</formula>
    </cfRule>
    <cfRule type="containsText" priority="53" dxfId="2" operator="containsText" stopIfTrue="1" text="NAC">
      <formula>NOT(ISERROR(SEARCH("NAC",D11)))</formula>
    </cfRule>
    <cfRule type="containsText" priority="54" dxfId="1" operator="containsText" stopIfTrue="1" text="SNB">
      <formula>NOT(ISERROR(SEARCH("SNB",D11)))</formula>
    </cfRule>
    <cfRule type="containsText" priority="55" dxfId="0" operator="containsText" stopIfTrue="1" text="SNA">
      <formula>NOT(ISERROR(SEARCH("SNA",D11)))</formula>
    </cfRule>
  </conditionalFormatting>
  <conditionalFormatting sqref="D4">
    <cfRule type="containsText" priority="34" dxfId="10" operator="containsText" stopIfTrue="1" text="OPN">
      <formula>NOT(ISERROR(SEARCH("OPN",D4)))</formula>
    </cfRule>
    <cfRule type="containsText" priority="35" dxfId="9" operator="containsText" stopIfTrue="1" text="RES">
      <formula>NOT(ISERROR(SEARCH("RES",D4)))</formula>
    </cfRule>
    <cfRule type="containsText" priority="36" dxfId="8" operator="containsText" stopIfTrue="1" text="SMOD">
      <formula>NOT(ISERROR(SEARCH("SMOD",D4)))</formula>
    </cfRule>
    <cfRule type="containsText" priority="37" dxfId="7" operator="containsText" stopIfTrue="1" text="CDMOD">
      <formula>NOT(ISERROR(SEARCH("CDMOD",D4)))</formula>
    </cfRule>
    <cfRule type="containsText" priority="38" dxfId="6" operator="containsText" stopIfTrue="1" text="ABMOD">
      <formula>NOT(ISERROR(SEARCH("ABMOD",D4)))</formula>
    </cfRule>
    <cfRule type="containsText" priority="39" dxfId="5" operator="containsText" stopIfTrue="1" text="SND">
      <formula>NOT(ISERROR(SEARCH("SND",D4)))</formula>
    </cfRule>
    <cfRule type="containsText" priority="40" dxfId="4" operator="containsText" stopIfTrue="1" text="SNC">
      <formula>NOT(ISERROR(SEARCH("SNC",D4)))</formula>
    </cfRule>
    <cfRule type="containsText" priority="41" dxfId="3" operator="containsText" stopIfTrue="1" text="NBC">
      <formula>NOT(ISERROR(SEARCH("NBC",D4)))</formula>
    </cfRule>
    <cfRule type="containsText" priority="42" dxfId="2" operator="containsText" stopIfTrue="1" text="NAC">
      <formula>NOT(ISERROR(SEARCH("NAC",D4)))</formula>
    </cfRule>
    <cfRule type="containsText" priority="43" dxfId="1" operator="containsText" stopIfTrue="1" text="SNB">
      <formula>NOT(ISERROR(SEARCH("SNB",D4)))</formula>
    </cfRule>
    <cfRule type="containsText" priority="44" dxfId="0" operator="containsText" stopIfTrue="1" text="SNA">
      <formula>NOT(ISERROR(SEARCH("SNA",D4)))</formula>
    </cfRule>
  </conditionalFormatting>
  <conditionalFormatting sqref="D17">
    <cfRule type="containsText" priority="23" dxfId="10" operator="containsText" stopIfTrue="1" text="OPN">
      <formula>NOT(ISERROR(SEARCH("OPN",D17)))</formula>
    </cfRule>
    <cfRule type="containsText" priority="24" dxfId="9" operator="containsText" stopIfTrue="1" text="RES">
      <formula>NOT(ISERROR(SEARCH("RES",D17)))</formula>
    </cfRule>
    <cfRule type="containsText" priority="25" dxfId="8" operator="containsText" stopIfTrue="1" text="SMOD">
      <formula>NOT(ISERROR(SEARCH("SMOD",D17)))</formula>
    </cfRule>
    <cfRule type="containsText" priority="26" dxfId="7" operator="containsText" stopIfTrue="1" text="CDMOD">
      <formula>NOT(ISERROR(SEARCH("CDMOD",D17)))</formula>
    </cfRule>
    <cfRule type="containsText" priority="27" dxfId="6" operator="containsText" stopIfTrue="1" text="ABMOD">
      <formula>NOT(ISERROR(SEARCH("ABMOD",D17)))</formula>
    </cfRule>
    <cfRule type="containsText" priority="28" dxfId="5" operator="containsText" stopIfTrue="1" text="SND">
      <formula>NOT(ISERROR(SEARCH("SND",D17)))</formula>
    </cfRule>
    <cfRule type="containsText" priority="29" dxfId="4" operator="containsText" stopIfTrue="1" text="SNC">
      <formula>NOT(ISERROR(SEARCH("SNC",D17)))</formula>
    </cfRule>
    <cfRule type="containsText" priority="30" dxfId="3" operator="containsText" stopIfTrue="1" text="NBC">
      <formula>NOT(ISERROR(SEARCH("NBC",D17)))</formula>
    </cfRule>
    <cfRule type="containsText" priority="31" dxfId="2" operator="containsText" stopIfTrue="1" text="NAC">
      <formula>NOT(ISERROR(SEARCH("NAC",D17)))</formula>
    </cfRule>
    <cfRule type="containsText" priority="32" dxfId="1" operator="containsText" stopIfTrue="1" text="SNB">
      <formula>NOT(ISERROR(SEARCH("SNB",D17)))</formula>
    </cfRule>
    <cfRule type="containsText" priority="33" dxfId="0" operator="containsText" stopIfTrue="1" text="SNA">
      <formula>NOT(ISERROR(SEARCH("SNA",D17)))</formula>
    </cfRule>
  </conditionalFormatting>
  <conditionalFormatting sqref="D19:D21">
    <cfRule type="containsText" priority="1" dxfId="10" operator="containsText" stopIfTrue="1" text="OPN">
      <formula>NOT(ISERROR(SEARCH("OPN",D19)))</formula>
    </cfRule>
    <cfRule type="containsText" priority="2" dxfId="9" operator="containsText" stopIfTrue="1" text="RES">
      <formula>NOT(ISERROR(SEARCH("RES",D19)))</formula>
    </cfRule>
    <cfRule type="containsText" priority="3" dxfId="8" operator="containsText" stopIfTrue="1" text="SMOD">
      <formula>NOT(ISERROR(SEARCH("SMOD",D19)))</formula>
    </cfRule>
    <cfRule type="containsText" priority="4" dxfId="7" operator="containsText" stopIfTrue="1" text="CDMOD">
      <formula>NOT(ISERROR(SEARCH("CDMOD",D19)))</formula>
    </cfRule>
    <cfRule type="containsText" priority="5" dxfId="6" operator="containsText" stopIfTrue="1" text="ABMOD">
      <formula>NOT(ISERROR(SEARCH("ABMOD",D19)))</formula>
    </cfRule>
    <cfRule type="containsText" priority="6" dxfId="5" operator="containsText" stopIfTrue="1" text="SND">
      <formula>NOT(ISERROR(SEARCH("SND",D19)))</formula>
    </cfRule>
    <cfRule type="containsText" priority="7" dxfId="4" operator="containsText" stopIfTrue="1" text="SNC">
      <formula>NOT(ISERROR(SEARCH("SNC",D19)))</formula>
    </cfRule>
    <cfRule type="containsText" priority="8" dxfId="3" operator="containsText" stopIfTrue="1" text="NBC">
      <formula>NOT(ISERROR(SEARCH("NBC",D19)))</formula>
    </cfRule>
    <cfRule type="containsText" priority="9" dxfId="2" operator="containsText" stopIfTrue="1" text="NAC">
      <formula>NOT(ISERROR(SEARCH("NAC",D19)))</formula>
    </cfRule>
    <cfRule type="containsText" priority="10" dxfId="1" operator="containsText" stopIfTrue="1" text="SNB">
      <formula>NOT(ISERROR(SEARCH("SNB",D19)))</formula>
    </cfRule>
    <cfRule type="containsText" priority="11" dxfId="0"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3" t="s">
        <v>98</v>
      </c>
      <c r="AE1" s="624" t="s">
        <v>108</v>
      </c>
      <c r="AF1" s="625"/>
      <c r="AG1" s="626"/>
    </row>
    <row r="2" spans="1:33" ht="12.75">
      <c r="A2" s="169">
        <v>6</v>
      </c>
      <c r="B2" s="170" t="s">
        <v>106</v>
      </c>
      <c r="C2" s="170" t="str">
        <f aca="true" t="shared" si="0" ref="C2:C24">LOWER(B2)</f>
        <v>russell garner</v>
      </c>
      <c r="D2" s="385" t="s">
        <v>16</v>
      </c>
      <c r="E2" s="386">
        <v>0.001119988425925926</v>
      </c>
      <c r="F2" s="387" t="s">
        <v>164</v>
      </c>
      <c r="G2" s="385"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85">
        <f aca="true" t="shared" si="3" ref="T2:T24">AB2-S2</f>
        <v>0</v>
      </c>
      <c r="U2" s="264">
        <f aca="true" t="shared" si="4" ref="U2:U24">_xlfn.IFERROR(VLOOKUP(D2,BenchmarksRd2,3,0)*86400,"")</f>
        <v>97.475</v>
      </c>
      <c r="V2" s="265">
        <f>(($E2*86400)-U2)</f>
        <v>-0.7079999999999842</v>
      </c>
      <c r="W2" s="385">
        <f>IF(V2&lt;=0,10,IF(V2&lt;1,5,IF(V2&lt;2,0,IF(V2&lt;3,-5,-10))))</f>
        <v>10</v>
      </c>
      <c r="X2" s="438">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80">
        <f aca="true" t="shared" si="8" ref="AC2:AC24">(S2+T2+W2)</f>
        <v>110</v>
      </c>
      <c r="AE2" s="251" t="s">
        <v>3</v>
      </c>
      <c r="AF2" s="426" t="s">
        <v>76</v>
      </c>
      <c r="AG2" s="427">
        <v>0.0012429050925925925</v>
      </c>
    </row>
    <row r="3" spans="1:33" ht="12.75">
      <c r="A3" s="112">
        <v>39</v>
      </c>
      <c r="B3" s="65" t="s">
        <v>82</v>
      </c>
      <c r="C3" s="65" t="str">
        <f t="shared" si="0"/>
        <v>paul ledwith</v>
      </c>
      <c r="D3" s="69" t="s">
        <v>13</v>
      </c>
      <c r="E3" s="399">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39">
        <f t="shared" si="5"/>
        <v>6</v>
      </c>
      <c r="Y3" s="196">
        <f t="shared" si="6"/>
        <v>10</v>
      </c>
      <c r="Z3" s="196">
        <f>IF($Y3="n/a","",_xlfn.IFERROR(COUNTIF($Y$2:$Y3,"="&amp;Y3),""))</f>
        <v>1</v>
      </c>
      <c r="AA3" s="196">
        <f>COUNTIF($X2:X$2,"&lt;"&amp;X3)</f>
        <v>1</v>
      </c>
      <c r="AB3" s="206">
        <f t="shared" si="7"/>
        <v>75</v>
      </c>
      <c r="AC3" s="346">
        <f t="shared" si="8"/>
        <v>75</v>
      </c>
      <c r="AE3" s="252" t="s">
        <v>5</v>
      </c>
      <c r="AF3" s="347" t="s">
        <v>77</v>
      </c>
      <c r="AG3" s="428" t="s">
        <v>172</v>
      </c>
    </row>
    <row r="4" spans="1:33" ht="12.75">
      <c r="A4" s="112">
        <v>124</v>
      </c>
      <c r="B4" s="65" t="s">
        <v>83</v>
      </c>
      <c r="C4" s="65" t="str">
        <f t="shared" si="0"/>
        <v>ray monik</v>
      </c>
      <c r="D4" s="69" t="s">
        <v>13</v>
      </c>
      <c r="E4" s="399">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39">
        <f t="shared" si="5"/>
        <v>6</v>
      </c>
      <c r="Y4" s="196">
        <f t="shared" si="6"/>
        <v>10</v>
      </c>
      <c r="Z4" s="196">
        <f>IF($Y4="n/a","",_xlfn.IFERROR(COUNTIF($Y$2:$Y4,"="&amp;Y4),""))</f>
        <v>2</v>
      </c>
      <c r="AA4" s="196">
        <f>COUNTIF($X$2:X3,"&lt;"&amp;X4)</f>
        <v>1</v>
      </c>
      <c r="AB4" s="206">
        <f t="shared" si="7"/>
        <v>60</v>
      </c>
      <c r="AC4" s="346">
        <f t="shared" si="8"/>
        <v>55</v>
      </c>
      <c r="AE4" s="253" t="s">
        <v>4</v>
      </c>
      <c r="AF4" s="141" t="s">
        <v>74</v>
      </c>
      <c r="AG4" s="349">
        <v>0.0011998611111111112</v>
      </c>
    </row>
    <row r="5" spans="1:33" ht="12.75">
      <c r="A5" s="388">
        <v>46</v>
      </c>
      <c r="B5" s="389" t="s">
        <v>177</v>
      </c>
      <c r="C5" s="389" t="str">
        <f t="shared" si="0"/>
        <v>dean watchorn</v>
      </c>
      <c r="D5" s="390" t="s">
        <v>16</v>
      </c>
      <c r="E5" s="391">
        <v>0.0011538425925925926</v>
      </c>
      <c r="F5" s="390"/>
      <c r="G5" s="390" t="s">
        <v>175</v>
      </c>
      <c r="H5" s="392">
        <f t="shared" si="9"/>
      </c>
      <c r="I5" s="392">
        <f t="shared" si="9"/>
      </c>
      <c r="J5" s="392">
        <f t="shared" si="9"/>
        <v>75</v>
      </c>
      <c r="K5" s="392">
        <f t="shared" si="9"/>
      </c>
      <c r="L5" s="392">
        <f t="shared" si="9"/>
      </c>
      <c r="M5" s="392">
        <f t="shared" si="9"/>
      </c>
      <c r="N5" s="392">
        <f t="shared" si="9"/>
      </c>
      <c r="O5" s="392">
        <f t="shared" si="9"/>
      </c>
      <c r="P5" s="392">
        <f t="shared" si="9"/>
      </c>
      <c r="Q5" s="392">
        <f t="shared" si="9"/>
      </c>
      <c r="R5" s="392">
        <f t="shared" si="9"/>
      </c>
      <c r="S5" s="212">
        <f t="shared" si="2"/>
        <v>75</v>
      </c>
      <c r="T5" s="390">
        <f>AB5-S5</f>
        <v>0</v>
      </c>
      <c r="U5" s="393">
        <f t="shared" si="4"/>
        <v>97.475</v>
      </c>
      <c r="V5" s="394">
        <f aca="true" t="shared" si="10" ref="V5:V14">(($E5*86400)-U5)</f>
        <v>2.2169999999999987</v>
      </c>
      <c r="W5" s="390">
        <f aca="true" t="shared" si="11" ref="W5:W14">IF(V5&lt;=0,10,IF(V5&lt;1,5,IF(V5&lt;2,0,IF(V5&lt;3,-5,-10))))</f>
        <v>-5</v>
      </c>
      <c r="X5" s="439">
        <f t="shared" si="5"/>
        <v>5</v>
      </c>
      <c r="Y5" s="196">
        <f t="shared" si="6"/>
        <v>9</v>
      </c>
      <c r="Z5" s="196">
        <f>IF($Y5="n/a","",_xlfn.IFERROR(COUNTIF($Y$2:$Y5,"="&amp;Y5),""))</f>
        <v>2</v>
      </c>
      <c r="AA5" s="196">
        <f>COUNTIF($X$2:X4,"&lt;"&amp;X5)</f>
        <v>0</v>
      </c>
      <c r="AB5" s="206">
        <f t="shared" si="7"/>
        <v>75</v>
      </c>
      <c r="AC5" s="346">
        <f t="shared" si="8"/>
        <v>70</v>
      </c>
      <c r="AE5" s="254" t="s">
        <v>50</v>
      </c>
      <c r="AF5" s="134" t="s">
        <v>74</v>
      </c>
      <c r="AG5" s="350">
        <v>0.001192476851851852</v>
      </c>
    </row>
    <row r="6" spans="1:33" ht="12.75">
      <c r="A6" s="112">
        <v>555</v>
      </c>
      <c r="B6" s="65" t="s">
        <v>73</v>
      </c>
      <c r="C6" s="65" t="str">
        <f t="shared" si="0"/>
        <v>tim meaden</v>
      </c>
      <c r="D6" s="69" t="s">
        <v>13</v>
      </c>
      <c r="E6" s="399">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39">
        <f t="shared" si="5"/>
        <v>6</v>
      </c>
      <c r="Y6" s="196">
        <f t="shared" si="6"/>
        <v>10</v>
      </c>
      <c r="Z6" s="196">
        <f>IF($Y6="n/a","",_xlfn.IFERROR(COUNTIF($Y$2:$Y6,"="&amp;Y6),""))</f>
        <v>3</v>
      </c>
      <c r="AA6" s="196">
        <f>COUNTIF($X$2:X5,"&lt;"&amp;X6)</f>
        <v>2</v>
      </c>
      <c r="AB6" s="206">
        <f t="shared" si="7"/>
        <v>30</v>
      </c>
      <c r="AC6" s="346">
        <f t="shared" si="8"/>
        <v>20</v>
      </c>
      <c r="AE6" s="255" t="s">
        <v>22</v>
      </c>
      <c r="AF6" s="160" t="s">
        <v>169</v>
      </c>
      <c r="AG6" s="351">
        <v>0.0012158101851851852</v>
      </c>
    </row>
    <row r="7" spans="1:33" ht="12.75">
      <c r="A7" s="103">
        <v>88</v>
      </c>
      <c r="B7" s="400" t="s">
        <v>74</v>
      </c>
      <c r="C7" s="400" t="str">
        <f t="shared" si="0"/>
        <v>randy stagno navarra</v>
      </c>
      <c r="D7" s="345" t="s">
        <v>52</v>
      </c>
      <c r="E7" s="401">
        <v>0.0011817939814814814</v>
      </c>
      <c r="F7" s="345"/>
      <c r="G7" s="345" t="s">
        <v>168</v>
      </c>
      <c r="H7" s="402">
        <f t="shared" si="9"/>
      </c>
      <c r="I7" s="402">
        <f t="shared" si="9"/>
      </c>
      <c r="J7" s="402">
        <f t="shared" si="9"/>
      </c>
      <c r="K7" s="402">
        <f t="shared" si="9"/>
        <v>100</v>
      </c>
      <c r="L7" s="402">
        <f t="shared" si="9"/>
      </c>
      <c r="M7" s="402">
        <f t="shared" si="9"/>
      </c>
      <c r="N7" s="402">
        <f t="shared" si="9"/>
      </c>
      <c r="O7" s="402">
        <f t="shared" si="9"/>
      </c>
      <c r="P7" s="402">
        <f t="shared" si="9"/>
      </c>
      <c r="Q7" s="402">
        <f t="shared" si="9"/>
      </c>
      <c r="R7" s="402">
        <f t="shared" si="9"/>
      </c>
      <c r="S7" s="212">
        <f t="shared" si="2"/>
        <v>100</v>
      </c>
      <c r="T7" s="345">
        <f t="shared" si="3"/>
        <v>0</v>
      </c>
      <c r="U7" s="403">
        <f t="shared" si="4"/>
        <v>100.768</v>
      </c>
      <c r="V7" s="404">
        <f t="shared" si="10"/>
        <v>1.3389999999999844</v>
      </c>
      <c r="W7" s="345">
        <f t="shared" si="11"/>
        <v>0</v>
      </c>
      <c r="X7" s="439">
        <f t="shared" si="5"/>
        <v>4</v>
      </c>
      <c r="Y7" s="196">
        <f t="shared" si="6"/>
        <v>8</v>
      </c>
      <c r="Z7" s="196">
        <f>IF($Y7="n/a","",_xlfn.IFERROR(COUNTIF($Y$2:$Y7,"="&amp;Y7),""))</f>
        <v>1</v>
      </c>
      <c r="AA7" s="196">
        <f>COUNTIF($X$2:X6,"&lt;"&amp;X7)</f>
        <v>0</v>
      </c>
      <c r="AB7" s="206">
        <f t="shared" si="7"/>
        <v>100</v>
      </c>
      <c r="AC7" s="346">
        <f t="shared" si="8"/>
        <v>100</v>
      </c>
      <c r="AE7" s="256" t="s">
        <v>21</v>
      </c>
      <c r="AF7" s="44" t="s">
        <v>75</v>
      </c>
      <c r="AG7" s="429" t="s">
        <v>170</v>
      </c>
    </row>
    <row r="8" spans="1:33" ht="12.75">
      <c r="A8" s="103">
        <v>50</v>
      </c>
      <c r="B8" s="400" t="s">
        <v>72</v>
      </c>
      <c r="C8" s="400" t="str">
        <f t="shared" si="0"/>
        <v>alan conrad</v>
      </c>
      <c r="D8" s="345" t="s">
        <v>52</v>
      </c>
      <c r="E8" s="401">
        <v>0.0011877083333333334</v>
      </c>
      <c r="F8" s="345"/>
      <c r="G8" s="345" t="s">
        <v>86</v>
      </c>
      <c r="H8" s="402">
        <f t="shared" si="9"/>
      </c>
      <c r="I8" s="402">
        <f t="shared" si="9"/>
      </c>
      <c r="J8" s="402">
        <f t="shared" si="9"/>
      </c>
      <c r="K8" s="402">
        <f t="shared" si="9"/>
        <v>75</v>
      </c>
      <c r="L8" s="402">
        <f t="shared" si="9"/>
      </c>
      <c r="M8" s="402">
        <f t="shared" si="9"/>
      </c>
      <c r="N8" s="402">
        <f t="shared" si="9"/>
      </c>
      <c r="O8" s="402">
        <f t="shared" si="9"/>
      </c>
      <c r="P8" s="402">
        <f t="shared" si="9"/>
      </c>
      <c r="Q8" s="402">
        <f t="shared" si="9"/>
      </c>
      <c r="R8" s="402">
        <f t="shared" si="9"/>
      </c>
      <c r="S8" s="212">
        <f t="shared" si="2"/>
        <v>75</v>
      </c>
      <c r="T8" s="345">
        <f>AB8-S8</f>
        <v>0</v>
      </c>
      <c r="U8" s="403">
        <f t="shared" si="4"/>
        <v>100.768</v>
      </c>
      <c r="V8" s="404">
        <f t="shared" si="10"/>
        <v>1.8500000000000085</v>
      </c>
      <c r="W8" s="345">
        <f t="shared" si="11"/>
        <v>0</v>
      </c>
      <c r="X8" s="439">
        <f t="shared" si="5"/>
        <v>4</v>
      </c>
      <c r="Y8" s="196">
        <f t="shared" si="6"/>
        <v>8</v>
      </c>
      <c r="Z8" s="196">
        <f>IF($Y8="n/a","",_xlfn.IFERROR(COUNTIF($Y$2:$Y8,"="&amp;Y8),""))</f>
        <v>2</v>
      </c>
      <c r="AA8" s="196">
        <f>COUNTIF($X$2:X7,"&lt;"&amp;X8)</f>
        <v>0</v>
      </c>
      <c r="AB8" s="206">
        <f t="shared" si="7"/>
        <v>75</v>
      </c>
      <c r="AC8" s="346">
        <f>(S8+T8+W8)</f>
        <v>75</v>
      </c>
      <c r="AE8" s="257" t="s">
        <v>51</v>
      </c>
      <c r="AF8" s="352" t="s">
        <v>88</v>
      </c>
      <c r="AG8" s="430" t="s">
        <v>167</v>
      </c>
    </row>
    <row r="9" spans="1:33" ht="12.75">
      <c r="A9" s="395">
        <v>21</v>
      </c>
      <c r="B9" s="396" t="s">
        <v>88</v>
      </c>
      <c r="C9" s="396" t="str">
        <f t="shared" si="0"/>
        <v>gavin newman</v>
      </c>
      <c r="D9" s="397" t="s">
        <v>51</v>
      </c>
      <c r="E9" s="405">
        <v>0.0011904398148148147</v>
      </c>
      <c r="F9" s="352" t="s">
        <v>164</v>
      </c>
      <c r="G9" s="397" t="s">
        <v>171</v>
      </c>
      <c r="H9" s="398">
        <f t="shared" si="9"/>
      </c>
      <c r="I9" s="398">
        <f t="shared" si="9"/>
      </c>
      <c r="J9" s="398">
        <f t="shared" si="9"/>
      </c>
      <c r="K9" s="398">
        <f t="shared" si="9"/>
      </c>
      <c r="L9" s="398">
        <f t="shared" si="9"/>
        <v>100</v>
      </c>
      <c r="M9" s="398">
        <f t="shared" si="9"/>
      </c>
      <c r="N9" s="398">
        <f t="shared" si="9"/>
      </c>
      <c r="O9" s="398">
        <f t="shared" si="9"/>
      </c>
      <c r="P9" s="398">
        <f t="shared" si="9"/>
      </c>
      <c r="Q9" s="398">
        <f t="shared" si="9"/>
      </c>
      <c r="R9" s="398">
        <f t="shared" si="9"/>
      </c>
      <c r="S9" s="212">
        <f t="shared" si="2"/>
        <v>100</v>
      </c>
      <c r="T9" s="397">
        <f>AB9-S9</f>
        <v>0</v>
      </c>
      <c r="U9" s="406">
        <f t="shared" si="4"/>
        <v>103.162</v>
      </c>
      <c r="V9" s="407">
        <f t="shared" si="10"/>
        <v>-0.30800000000000693</v>
      </c>
      <c r="W9" s="397">
        <f t="shared" si="11"/>
        <v>10</v>
      </c>
      <c r="X9" s="439">
        <f t="shared" si="5"/>
        <v>4</v>
      </c>
      <c r="Y9" s="196">
        <f t="shared" si="6"/>
        <v>7</v>
      </c>
      <c r="Z9" s="196">
        <f>IF($Y9="n/a","",_xlfn.IFERROR(COUNTIF($Y$2:$Y9,"="&amp;Y9),""))</f>
        <v>1</v>
      </c>
      <c r="AA9" s="196">
        <f>COUNTIF($X$2:X8,"&lt;"&amp;X9)</f>
        <v>0</v>
      </c>
      <c r="AB9" s="206">
        <f t="shared" si="7"/>
        <v>100</v>
      </c>
      <c r="AC9" s="346">
        <f>(S9+T9+W9)</f>
        <v>110</v>
      </c>
      <c r="AE9" s="258" t="s">
        <v>52</v>
      </c>
      <c r="AF9" s="353" t="s">
        <v>72</v>
      </c>
      <c r="AG9" s="354">
        <v>0.0011662962962962964</v>
      </c>
    </row>
    <row r="10" spans="1:33" ht="12.75">
      <c r="A10" s="105">
        <v>62</v>
      </c>
      <c r="B10" s="35" t="s">
        <v>75</v>
      </c>
      <c r="C10" s="35" t="str">
        <f t="shared" si="0"/>
        <v>noel heritage</v>
      </c>
      <c r="D10" s="36" t="s">
        <v>21</v>
      </c>
      <c r="E10" s="408">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39">
        <f t="shared" si="5"/>
        <v>2</v>
      </c>
      <c r="Y10" s="196">
        <f t="shared" si="6"/>
        <v>4</v>
      </c>
      <c r="Z10" s="196">
        <f>IF($Y10="n/a","",_xlfn.IFERROR(COUNTIF($Y$2:$Y10,"="&amp;Y10),""))</f>
        <v>1</v>
      </c>
      <c r="AA10" s="196">
        <f>COUNTIF($X$2:X9,"&lt;"&amp;X10)</f>
        <v>0</v>
      </c>
      <c r="AB10" s="206">
        <f t="shared" si="7"/>
        <v>100</v>
      </c>
      <c r="AC10" s="346">
        <f>(S10+T10+W10)</f>
        <v>105</v>
      </c>
      <c r="AE10" s="259" t="s">
        <v>16</v>
      </c>
      <c r="AF10" s="355" t="s">
        <v>106</v>
      </c>
      <c r="AG10" s="356">
        <v>0.0011281828703703703</v>
      </c>
    </row>
    <row r="11" spans="1:33" ht="12.75">
      <c r="A11" s="105">
        <v>141</v>
      </c>
      <c r="B11" s="35" t="s">
        <v>111</v>
      </c>
      <c r="C11" s="35" t="str">
        <f t="shared" si="0"/>
        <v>max lloyd</v>
      </c>
      <c r="D11" s="36" t="s">
        <v>21</v>
      </c>
      <c r="E11" s="408">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39">
        <f t="shared" si="5"/>
        <v>2</v>
      </c>
      <c r="Y11" s="196">
        <f t="shared" si="6"/>
        <v>4</v>
      </c>
      <c r="Z11" s="196">
        <f>IF($Y11="n/a","",_xlfn.IFERROR(COUNTIF($Y$2:$Y11,"="&amp;Y11),""))</f>
        <v>2</v>
      </c>
      <c r="AA11" s="196">
        <f>COUNTIF($X$2:X10,"&lt;"&amp;X11)</f>
        <v>0</v>
      </c>
      <c r="AB11" s="206">
        <f t="shared" si="7"/>
        <v>75</v>
      </c>
      <c r="AC11" s="346">
        <f>(S11+T11+W11)</f>
        <v>75</v>
      </c>
      <c r="AE11" s="260" t="s">
        <v>13</v>
      </c>
      <c r="AF11" s="357" t="s">
        <v>82</v>
      </c>
      <c r="AG11" s="358">
        <v>0.001110150462962963</v>
      </c>
    </row>
    <row r="12" spans="1:33" ht="13.5" thickBot="1">
      <c r="A12" s="107">
        <v>9</v>
      </c>
      <c r="B12" s="47" t="s">
        <v>80</v>
      </c>
      <c r="C12" s="47" t="str">
        <f t="shared" si="0"/>
        <v>steve williamsz</v>
      </c>
      <c r="D12" s="48" t="s">
        <v>5</v>
      </c>
      <c r="E12" s="409">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39">
        <f t="shared" si="5"/>
        <v>1</v>
      </c>
      <c r="Y12" s="196">
        <f t="shared" si="6"/>
        <v>2</v>
      </c>
      <c r="Z12" s="196">
        <f>IF($Y12="n/a","",_xlfn.IFERROR(COUNTIF($Y$2:$Y12,"="&amp;Y12),""))</f>
        <v>1</v>
      </c>
      <c r="AA12" s="196">
        <f>COUNTIF($X$2:X11,"&lt;"&amp;X12)</f>
        <v>0</v>
      </c>
      <c r="AB12" s="206">
        <f t="shared" si="7"/>
        <v>100</v>
      </c>
      <c r="AC12" s="346">
        <f>(S12+T12+W12)</f>
        <v>100</v>
      </c>
      <c r="AE12" s="261" t="s">
        <v>14</v>
      </c>
      <c r="AF12" s="431" t="s">
        <v>162</v>
      </c>
      <c r="AG12" s="432" t="s">
        <v>163</v>
      </c>
    </row>
    <row r="13" spans="1:29" ht="12.75">
      <c r="A13" s="281">
        <v>26</v>
      </c>
      <c r="B13" s="142" t="s">
        <v>76</v>
      </c>
      <c r="C13" s="142" t="str">
        <f t="shared" si="0"/>
        <v>robert downes</v>
      </c>
      <c r="D13" s="424" t="s">
        <v>4</v>
      </c>
      <c r="E13" s="425">
        <v>0.0012381481481481482</v>
      </c>
      <c r="F13" s="424"/>
      <c r="G13" s="424"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24">
        <f t="shared" si="3"/>
        <v>-55</v>
      </c>
      <c r="U13" s="282">
        <f t="shared" si="4"/>
        <v>103.668</v>
      </c>
      <c r="V13" s="283">
        <f t="shared" si="10"/>
        <v>3.3079999999999927</v>
      </c>
      <c r="W13" s="424">
        <f t="shared" si="11"/>
        <v>-10</v>
      </c>
      <c r="X13" s="439">
        <f t="shared" si="5"/>
        <v>3</v>
      </c>
      <c r="Y13" s="196">
        <f t="shared" si="6"/>
        <v>5</v>
      </c>
      <c r="Z13" s="196">
        <f>IF($Y13="n/a","",_xlfn.IFERROR(COUNTIF($Y$2:$Y13,"="&amp;Y13),""))</f>
        <v>1</v>
      </c>
      <c r="AA13" s="196">
        <f>COUNTIF($X$2:X12,"&lt;"&amp;X13)</f>
        <v>3</v>
      </c>
      <c r="AB13" s="206">
        <f t="shared" si="7"/>
        <v>45</v>
      </c>
      <c r="AC13" s="346">
        <f t="shared" si="8"/>
        <v>35</v>
      </c>
    </row>
    <row r="14" spans="1:29" ht="12.75">
      <c r="A14" s="415">
        <v>33</v>
      </c>
      <c r="B14" s="135" t="s">
        <v>133</v>
      </c>
      <c r="C14" s="135" t="str">
        <f t="shared" si="0"/>
        <v>david adam</v>
      </c>
      <c r="D14" s="416" t="s">
        <v>50</v>
      </c>
      <c r="E14" s="417">
        <v>0.0012431712962962963</v>
      </c>
      <c r="F14" s="416"/>
      <c r="G14" s="416" t="s">
        <v>171</v>
      </c>
      <c r="H14" s="418">
        <f t="shared" si="9"/>
      </c>
      <c r="I14" s="418">
        <f t="shared" si="9"/>
      </c>
      <c r="J14" s="418">
        <f t="shared" si="9"/>
      </c>
      <c r="K14" s="418">
        <f t="shared" si="9"/>
      </c>
      <c r="L14" s="418">
        <f t="shared" si="9"/>
      </c>
      <c r="M14" s="418">
        <f t="shared" si="9"/>
      </c>
      <c r="N14" s="418">
        <f t="shared" si="9"/>
      </c>
      <c r="O14" s="418">
        <f t="shared" si="9"/>
        <v>100</v>
      </c>
      <c r="P14" s="418">
        <f t="shared" si="9"/>
      </c>
      <c r="Q14" s="418">
        <f t="shared" si="9"/>
      </c>
      <c r="R14" s="418">
        <f t="shared" si="9"/>
      </c>
      <c r="S14" s="212">
        <f t="shared" si="2"/>
        <v>100</v>
      </c>
      <c r="T14" s="416">
        <f t="shared" si="3"/>
        <v>-55</v>
      </c>
      <c r="U14" s="419">
        <f t="shared" si="4"/>
        <v>103.03</v>
      </c>
      <c r="V14" s="420">
        <f t="shared" si="10"/>
        <v>4.3799999999999955</v>
      </c>
      <c r="W14" s="416">
        <f t="shared" si="11"/>
        <v>-10</v>
      </c>
      <c r="X14" s="439">
        <f t="shared" si="5"/>
        <v>3</v>
      </c>
      <c r="Y14" s="196">
        <f t="shared" si="6"/>
        <v>6</v>
      </c>
      <c r="Z14" s="196">
        <f>IF($Y14="n/a","",_xlfn.IFERROR(COUNTIF($Y$2:$Y14,"="&amp;Y14),""))</f>
        <v>1</v>
      </c>
      <c r="AA14" s="196">
        <f>COUNTIF($X$2:X13,"&lt;"&amp;X14)</f>
        <v>3</v>
      </c>
      <c r="AB14" s="206">
        <f t="shared" si="7"/>
        <v>45</v>
      </c>
      <c r="AC14" s="346">
        <f t="shared" si="8"/>
        <v>35</v>
      </c>
    </row>
    <row r="15" spans="1:29" ht="12.75">
      <c r="A15" s="348">
        <v>14</v>
      </c>
      <c r="B15" s="384" t="s">
        <v>197</v>
      </c>
      <c r="C15" s="1" t="str">
        <f t="shared" si="0"/>
        <v>jarrah pitt</v>
      </c>
      <c r="D15" s="8" t="s">
        <v>26</v>
      </c>
      <c r="E15" s="359">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39" t="str">
        <f t="shared" si="5"/>
        <v>n/a</v>
      </c>
      <c r="Y15" s="196" t="str">
        <f t="shared" si="6"/>
        <v>n/a</v>
      </c>
      <c r="Z15" s="196">
        <f>IF($Y15="n/a","",_xlfn.IFERROR(COUNTIF($Y$2:$Y15,"="&amp;Y15),""))</f>
      </c>
      <c r="AA15" s="196">
        <f>COUNTIF($X$2:X14,"&lt;"&amp;X15)</f>
        <v>0</v>
      </c>
      <c r="AB15" s="206">
        <f t="shared" si="7"/>
        <v>0</v>
      </c>
      <c r="AC15" s="346">
        <f t="shared" si="8"/>
        <v>0</v>
      </c>
    </row>
    <row r="16" spans="1:29" ht="12.75">
      <c r="A16" s="107">
        <v>77</v>
      </c>
      <c r="B16" s="47" t="s">
        <v>78</v>
      </c>
      <c r="C16" s="47" t="str">
        <f t="shared" si="0"/>
        <v>simeon ouzas</v>
      </c>
      <c r="D16" s="48" t="s">
        <v>5</v>
      </c>
      <c r="E16" s="409">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39">
        <f t="shared" si="5"/>
        <v>1</v>
      </c>
      <c r="Y16" s="196">
        <f t="shared" si="6"/>
        <v>2</v>
      </c>
      <c r="Z16" s="196">
        <f>IF($Y16="n/a","",_xlfn.IFERROR(COUNTIF($Y$2:$Y16,"="&amp;Y16),""))</f>
        <v>2</v>
      </c>
      <c r="AA16" s="196">
        <f>COUNTIF($X$2:X15,"&lt;"&amp;X16)</f>
        <v>0</v>
      </c>
      <c r="AB16" s="206">
        <f t="shared" si="7"/>
        <v>75</v>
      </c>
      <c r="AC16" s="346">
        <f t="shared" si="8"/>
        <v>65</v>
      </c>
    </row>
    <row r="17" spans="1:29" ht="12.75">
      <c r="A17" s="348">
        <v>205</v>
      </c>
      <c r="B17" s="1" t="s">
        <v>173</v>
      </c>
      <c r="C17" s="1" t="str">
        <f t="shared" si="0"/>
        <v>john reid</v>
      </c>
      <c r="D17" s="8" t="s">
        <v>26</v>
      </c>
      <c r="E17" s="359">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39" t="str">
        <f t="shared" si="5"/>
        <v>n/a</v>
      </c>
      <c r="Y17" s="196" t="str">
        <f t="shared" si="6"/>
        <v>n/a</v>
      </c>
      <c r="Z17" s="196">
        <f>IF($Y17="n/a","",_xlfn.IFERROR(COUNTIF($Y$2:$Y17,"="&amp;Y17),""))</f>
      </c>
      <c r="AA17" s="196">
        <f>COUNTIF($X$2:X16,"&lt;"&amp;X17)</f>
        <v>0</v>
      </c>
      <c r="AB17" s="206">
        <f t="shared" si="7"/>
        <v>0</v>
      </c>
      <c r="AC17" s="346">
        <f t="shared" si="8"/>
        <v>0</v>
      </c>
    </row>
    <row r="18" spans="1:29" ht="12.75">
      <c r="A18" s="107">
        <v>43</v>
      </c>
      <c r="B18" s="47" t="s">
        <v>79</v>
      </c>
      <c r="C18" s="47" t="str">
        <f t="shared" si="0"/>
        <v>john downes</v>
      </c>
      <c r="D18" s="48" t="s">
        <v>5</v>
      </c>
      <c r="E18" s="409">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39">
        <f t="shared" si="5"/>
        <v>1</v>
      </c>
      <c r="Y18" s="196">
        <f t="shared" si="6"/>
        <v>2</v>
      </c>
      <c r="Z18" s="196">
        <f>IF($Y18="n/a","",_xlfn.IFERROR(COUNTIF($Y$2:$Y18,"="&amp;Y18),""))</f>
        <v>3</v>
      </c>
      <c r="AA18" s="196">
        <f>COUNTIF($X$2:X17,"&lt;"&amp;X18)</f>
        <v>0</v>
      </c>
      <c r="AB18" s="206">
        <f t="shared" si="7"/>
        <v>60</v>
      </c>
      <c r="AC18" s="346">
        <f t="shared" si="8"/>
        <v>50</v>
      </c>
    </row>
    <row r="19" spans="1:29" ht="12.75">
      <c r="A19" s="107">
        <v>32</v>
      </c>
      <c r="B19" s="47" t="s">
        <v>112</v>
      </c>
      <c r="C19" s="47" t="str">
        <f t="shared" si="0"/>
        <v>matthew cavell</v>
      </c>
      <c r="D19" s="48" t="s">
        <v>5</v>
      </c>
      <c r="E19" s="409">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39">
        <f t="shared" si="5"/>
        <v>1</v>
      </c>
      <c r="Y19" s="196">
        <f t="shared" si="6"/>
        <v>2</v>
      </c>
      <c r="Z19" s="196">
        <f>IF($Y19="n/a","",_xlfn.IFERROR(COUNTIF($Y$2:$Y19,"="&amp;Y19),""))</f>
        <v>4</v>
      </c>
      <c r="AA19" s="196">
        <f>COUNTIF($X$2:X18,"&lt;"&amp;X19)</f>
        <v>0</v>
      </c>
      <c r="AB19" s="206">
        <f t="shared" si="7"/>
        <v>45</v>
      </c>
      <c r="AC19" s="346">
        <f t="shared" si="8"/>
        <v>35</v>
      </c>
    </row>
    <row r="20" spans="1:29" ht="12.75">
      <c r="A20" s="281">
        <v>112</v>
      </c>
      <c r="B20" s="142" t="s">
        <v>174</v>
      </c>
      <c r="C20" s="142" t="str">
        <f t="shared" si="0"/>
        <v>ian vague</v>
      </c>
      <c r="D20" s="424" t="s">
        <v>4</v>
      </c>
      <c r="E20" s="425">
        <v>0.0013061921296296296</v>
      </c>
      <c r="F20" s="424"/>
      <c r="G20" s="424"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24">
        <f t="shared" si="3"/>
        <v>-60</v>
      </c>
      <c r="U20" s="282">
        <f t="shared" si="4"/>
        <v>103.668</v>
      </c>
      <c r="V20" s="283">
        <f>(($E20*86400)-U20)</f>
        <v>9.186999999999983</v>
      </c>
      <c r="W20" s="424">
        <f>IF(V20&lt;=0,10,IF(V20&lt;1,5,IF(V20&lt;2,0,IF(V20&lt;3,-5,-10))))</f>
        <v>-10</v>
      </c>
      <c r="X20" s="439">
        <f t="shared" si="5"/>
        <v>3</v>
      </c>
      <c r="Y20" s="196">
        <f t="shared" si="6"/>
        <v>5</v>
      </c>
      <c r="Z20" s="196">
        <f>IF($Y20="n/a","",_xlfn.IFERROR(COUNTIF($Y$2:$Y20,"="&amp;Y20),""))</f>
        <v>2</v>
      </c>
      <c r="AA20" s="196">
        <f>COUNTIF($X$2:X19,"&lt;"&amp;X20)</f>
        <v>6</v>
      </c>
      <c r="AB20" s="206">
        <f t="shared" si="7"/>
        <v>15</v>
      </c>
      <c r="AC20" s="346">
        <f t="shared" si="8"/>
        <v>5</v>
      </c>
    </row>
    <row r="21" spans="1:29" ht="12.75">
      <c r="A21" s="348">
        <v>16</v>
      </c>
      <c r="B21" s="1" t="s">
        <v>179</v>
      </c>
      <c r="C21" s="1" t="str">
        <f t="shared" si="0"/>
        <v>isaac pittolo</v>
      </c>
      <c r="D21" s="8" t="s">
        <v>26</v>
      </c>
      <c r="E21" s="359">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39" t="str">
        <f t="shared" si="5"/>
        <v>n/a</v>
      </c>
      <c r="Y21" s="196" t="str">
        <f t="shared" si="6"/>
        <v>n/a</v>
      </c>
      <c r="Z21" s="196">
        <f>IF($Y21="n/a","",_xlfn.IFERROR(COUNTIF($Y$2:$Y21,"="&amp;Y21),""))</f>
      </c>
      <c r="AA21" s="196">
        <f>COUNTIF($X$2:X20,"&lt;"&amp;X21)</f>
        <v>0</v>
      </c>
      <c r="AB21" s="206">
        <f t="shared" si="7"/>
        <v>0</v>
      </c>
      <c r="AC21" s="346">
        <f t="shared" si="8"/>
        <v>0</v>
      </c>
    </row>
    <row r="22" spans="1:29" ht="12.75">
      <c r="A22" s="410">
        <v>4</v>
      </c>
      <c r="B22" s="411" t="s">
        <v>180</v>
      </c>
      <c r="C22" s="411" t="str">
        <f t="shared" si="0"/>
        <v>kutay dal</v>
      </c>
      <c r="D22" s="412" t="s">
        <v>3</v>
      </c>
      <c r="E22" s="413">
        <v>0.0013310763888888888</v>
      </c>
      <c r="F22" s="412"/>
      <c r="G22" s="412" t="s">
        <v>171</v>
      </c>
      <c r="H22" s="414">
        <f t="shared" si="9"/>
      </c>
      <c r="I22" s="414">
        <f t="shared" si="9"/>
      </c>
      <c r="J22" s="414">
        <f t="shared" si="9"/>
      </c>
      <c r="K22" s="414">
        <f t="shared" si="9"/>
      </c>
      <c r="L22" s="414">
        <f t="shared" si="9"/>
      </c>
      <c r="M22" s="414">
        <f t="shared" si="9"/>
      </c>
      <c r="N22" s="414">
        <f t="shared" si="9"/>
      </c>
      <c r="O22" s="414">
        <f t="shared" si="9"/>
      </c>
      <c r="P22" s="414">
        <f t="shared" si="9"/>
      </c>
      <c r="Q22" s="414">
        <f t="shared" si="9"/>
      </c>
      <c r="R22" s="414">
        <f t="shared" si="9"/>
        <v>100</v>
      </c>
      <c r="S22" s="212">
        <f t="shared" si="2"/>
        <v>100</v>
      </c>
      <c r="T22" s="412">
        <f t="shared" si="3"/>
        <v>0</v>
      </c>
      <c r="U22" s="422">
        <f t="shared" si="4"/>
        <v>107.387</v>
      </c>
      <c r="V22" s="423">
        <f>(($E22*86400)-U22)</f>
        <v>7.617999999999995</v>
      </c>
      <c r="W22" s="412">
        <f>IF(V22&lt;=0,10,IF(V22&lt;1,5,IF(V22&lt;2,0,IF(V22&lt;3,-5,-10))))</f>
        <v>-10</v>
      </c>
      <c r="X22" s="439">
        <f t="shared" si="5"/>
        <v>1</v>
      </c>
      <c r="Y22" s="196">
        <f t="shared" si="6"/>
        <v>1</v>
      </c>
      <c r="Z22" s="196">
        <f>IF($Y22="n/a","",_xlfn.IFERROR(COUNTIF($Y$2:$Y22,"="&amp;Y22),""))</f>
        <v>1</v>
      </c>
      <c r="AA22" s="196">
        <f>COUNTIF($X$2:X21,"&lt;"&amp;X22)</f>
        <v>0</v>
      </c>
      <c r="AB22" s="206">
        <f t="shared" si="7"/>
        <v>100</v>
      </c>
      <c r="AC22" s="346">
        <f t="shared" si="8"/>
        <v>90</v>
      </c>
    </row>
    <row r="23" spans="1:29" ht="12.75">
      <c r="A23" s="348">
        <v>29</v>
      </c>
      <c r="B23" s="1" t="s">
        <v>181</v>
      </c>
      <c r="C23" s="1" t="str">
        <f t="shared" si="0"/>
        <v>andrew potter</v>
      </c>
      <c r="D23" s="8" t="s">
        <v>26</v>
      </c>
      <c r="E23" s="359">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39" t="str">
        <f t="shared" si="5"/>
        <v>n/a</v>
      </c>
      <c r="Y23" s="196" t="str">
        <f t="shared" si="6"/>
        <v>n/a</v>
      </c>
      <c r="Z23" s="196">
        <f>IF($Y23="n/a","",_xlfn.IFERROR(COUNTIF($Y$2:$Y23,"="&amp;Y23),""))</f>
      </c>
      <c r="AA23" s="196">
        <f>COUNTIF($X$2:X22,"&lt;"&amp;X23)</f>
        <v>0</v>
      </c>
      <c r="AB23" s="206">
        <f t="shared" si="7"/>
        <v>0</v>
      </c>
      <c r="AC23" s="346">
        <f t="shared" si="8"/>
        <v>0</v>
      </c>
    </row>
    <row r="24" spans="1:29" ht="12.75" thickBot="1">
      <c r="A24" s="362">
        <v>37</v>
      </c>
      <c r="B24" s="272" t="s">
        <v>182</v>
      </c>
      <c r="C24" s="272" t="str">
        <f t="shared" si="0"/>
        <v>lachlan stephens</v>
      </c>
      <c r="D24" s="361" t="s">
        <v>26</v>
      </c>
      <c r="E24" s="360">
        <v>0.001333263888888889</v>
      </c>
      <c r="F24" s="361"/>
      <c r="G24" s="361"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79">
        <f t="shared" si="3"/>
        <v>0</v>
      </c>
      <c r="U24" s="162">
        <f t="shared" si="4"/>
      </c>
      <c r="V24" s="271"/>
      <c r="W24" s="479"/>
      <c r="X24" s="440" t="s">
        <v>214</v>
      </c>
      <c r="Y24" s="441" t="str">
        <f t="shared" si="6"/>
        <v>n/a</v>
      </c>
      <c r="Z24" s="441">
        <f>IF($Y24="n/a","",_xlfn.IFERROR(COUNTIF($Y$2:$Y24,"="&amp;Y24),""))</f>
      </c>
      <c r="AA24" s="441">
        <f>COUNTIF($X$2:X23,"&lt;"&amp;X24)</f>
        <v>0</v>
      </c>
      <c r="AB24" s="442">
        <v>0</v>
      </c>
      <c r="AC24" s="481">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75">
      <c r="T26" s="8"/>
      <c r="U26" s="1"/>
      <c r="V26" s="204"/>
      <c r="W26" s="1"/>
      <c r="X26" s="8"/>
      <c r="Y26" s="8"/>
      <c r="Z26" s="8"/>
      <c r="AA26" s="8"/>
      <c r="AB26" s="8"/>
      <c r="AC26" s="1"/>
    </row>
    <row r="27" spans="2:28" ht="12.75">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59"/>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1.421875" style="110" customWidth="1"/>
    <col min="7" max="7" width="10.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46" customWidth="1"/>
    <col min="32" max="32" width="8.7109375" style="446" bestFit="1" customWidth="1"/>
    <col min="33" max="33" width="8.8515625" style="446" customWidth="1"/>
    <col min="34" max="34" width="9.140625" style="446" bestFit="1" customWidth="1"/>
    <col min="35" max="16384" width="8.8515625" style="446" customWidth="1"/>
  </cols>
  <sheetData>
    <row r="1" spans="1:34" s="445" customFormat="1" ht="42.75" customHeight="1" thickBot="1">
      <c r="A1" s="482" t="s">
        <v>23</v>
      </c>
      <c r="B1" s="483" t="s">
        <v>1</v>
      </c>
      <c r="C1" s="484" t="s">
        <v>1</v>
      </c>
      <c r="D1" s="444" t="s">
        <v>2</v>
      </c>
      <c r="E1" s="444" t="s">
        <v>201</v>
      </c>
      <c r="F1" s="444" t="s">
        <v>202</v>
      </c>
      <c r="G1" s="444" t="s">
        <v>203</v>
      </c>
      <c r="H1" s="485" t="s">
        <v>14</v>
      </c>
      <c r="I1" s="486" t="s">
        <v>13</v>
      </c>
      <c r="J1" s="487" t="s">
        <v>16</v>
      </c>
      <c r="K1" s="488" t="s">
        <v>52</v>
      </c>
      <c r="L1" s="489" t="s">
        <v>51</v>
      </c>
      <c r="M1" s="490" t="s">
        <v>21</v>
      </c>
      <c r="N1" s="491" t="s">
        <v>22</v>
      </c>
      <c r="O1" s="492" t="s">
        <v>50</v>
      </c>
      <c r="P1" s="493" t="s">
        <v>4</v>
      </c>
      <c r="Q1" s="494" t="s">
        <v>5</v>
      </c>
      <c r="R1" s="495" t="s">
        <v>3</v>
      </c>
      <c r="S1" s="323" t="s">
        <v>64</v>
      </c>
      <c r="T1" s="202" t="s">
        <v>95</v>
      </c>
      <c r="U1" s="202" t="s">
        <v>60</v>
      </c>
      <c r="V1" s="205" t="s">
        <v>61</v>
      </c>
      <c r="W1" s="203" t="s">
        <v>63</v>
      </c>
      <c r="X1" s="344" t="s">
        <v>93</v>
      </c>
      <c r="Y1" s="344" t="s">
        <v>2</v>
      </c>
      <c r="Z1" s="344" t="s">
        <v>97</v>
      </c>
      <c r="AA1" s="344" t="s">
        <v>89</v>
      </c>
      <c r="AB1" s="344" t="s">
        <v>94</v>
      </c>
      <c r="AC1" s="343" t="s">
        <v>98</v>
      </c>
      <c r="AE1" s="627" t="s">
        <v>108</v>
      </c>
      <c r="AF1" s="628"/>
      <c r="AG1" s="628"/>
      <c r="AH1" s="628"/>
    </row>
    <row r="2" spans="1:34" ht="12.75">
      <c r="A2" s="169">
        <v>6</v>
      </c>
      <c r="B2" s="526" t="s">
        <v>216</v>
      </c>
      <c r="C2" s="526" t="str">
        <f>LOWER(B2)</f>
        <v>russell garner</v>
      </c>
      <c r="D2" s="527" t="s">
        <v>16</v>
      </c>
      <c r="E2" s="387" t="s">
        <v>218</v>
      </c>
      <c r="F2" s="528" t="s">
        <v>316</v>
      </c>
      <c r="G2" s="529">
        <f aca="true" t="shared" si="0" ref="G2:G33">E2+F2</f>
        <v>0.002031724537037037</v>
      </c>
      <c r="H2" s="263">
        <f aca="true" t="shared" si="1" ref="H2:R11">IF($D2=H$1,$S2,"")</f>
      </c>
      <c r="I2" s="263">
        <f t="shared" si="1"/>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33">_xlfn.IFERROR(VLOOKUP($Z2,Points2018,2,0),0)</f>
        <v>100</v>
      </c>
      <c r="T2" s="385">
        <f aca="true" t="shared" si="3" ref="T2:T23">AB2-S2</f>
        <v>0</v>
      </c>
      <c r="U2" s="264">
        <f aca="true" t="shared" si="4" ref="U2:U33">_xlfn.IFERROR(VLOOKUP(D2,BenchmarksRd3,4,0)*86400,"")</f>
        <v>163.59199999999998</v>
      </c>
      <c r="V2" s="265">
        <f aca="true" t="shared" si="5" ref="V2:V7">(($G2*86400)-U2)</f>
        <v>11.94900000000004</v>
      </c>
      <c r="W2" s="171">
        <f aca="true" t="shared" si="6" ref="W2:W14">IF(V2&lt;=0,10,IF(V2&lt;1,5,IF(V2&lt;2,0,IF(V2&lt;3,-5,-10))))</f>
        <v>-10</v>
      </c>
      <c r="X2" s="438">
        <f aca="true" t="shared" si="7" ref="X2:X33">_xlfn.IFERROR(VLOOKUP(D2,Class2018,4,0),"n/a")</f>
        <v>5</v>
      </c>
      <c r="Y2" s="217">
        <f aca="true" t="shared" si="8" ref="Y2:Y33">_xlfn.IFERROR(VLOOKUP(D2,Class2018,3,0),"n/a")</f>
        <v>9</v>
      </c>
      <c r="Z2" s="217">
        <f>IF($Y2="n/a","",_xlfn.IFERROR(COUNTIF($Y$2:$Y2,"="&amp;Y2),""))</f>
        <v>1</v>
      </c>
      <c r="AA2" s="217">
        <f>COUNTIF($X1:X$2,"&lt;"&amp;X2)</f>
        <v>0</v>
      </c>
      <c r="AB2" s="247">
        <f aca="true" t="shared" si="9" ref="AB2:AB33">IF($Y2="n/a",0,_xlfn.IFERROR(VLOOKUP(Z2+AA2,Points2018,2,0),15))</f>
        <v>100</v>
      </c>
      <c r="AC2" s="211">
        <f aca="true" t="shared" si="10" ref="AC2:AC23">(S2+T2+W2)</f>
        <v>90</v>
      </c>
      <c r="AE2" s="447" t="s">
        <v>3</v>
      </c>
      <c r="AF2" s="448">
        <v>0.0012429050925925925</v>
      </c>
      <c r="AG2" s="448">
        <v>0.0008543518518518518</v>
      </c>
      <c r="AH2" s="449">
        <f aca="true" t="shared" si="11" ref="AH2:AH9">((AF2*86400)+(AG2*86400))/86400</f>
        <v>0.0020972569444444446</v>
      </c>
    </row>
    <row r="3" spans="1:34" ht="12.75">
      <c r="A3" s="112">
        <v>724</v>
      </c>
      <c r="B3" s="537" t="s">
        <v>204</v>
      </c>
      <c r="C3" s="537" t="str">
        <f>LOWER(B3)</f>
        <v>dean monik</v>
      </c>
      <c r="D3" s="506" t="s">
        <v>13</v>
      </c>
      <c r="E3" s="69" t="s">
        <v>221</v>
      </c>
      <c r="F3" s="538" t="s">
        <v>314</v>
      </c>
      <c r="G3" s="539">
        <f t="shared" si="0"/>
        <v>0.002032708333333333</v>
      </c>
      <c r="H3" s="71">
        <f t="shared" si="1"/>
      </c>
      <c r="I3" s="71">
        <f t="shared" si="1"/>
        <v>100</v>
      </c>
      <c r="J3" s="71">
        <f t="shared" si="1"/>
      </c>
      <c r="K3" s="71">
        <f t="shared" si="1"/>
      </c>
      <c r="L3" s="71">
        <f t="shared" si="1"/>
      </c>
      <c r="M3" s="71">
        <f t="shared" si="1"/>
      </c>
      <c r="N3" s="71">
        <f t="shared" si="1"/>
      </c>
      <c r="O3" s="71">
        <f t="shared" si="1"/>
      </c>
      <c r="P3" s="71">
        <f t="shared" si="1"/>
      </c>
      <c r="Q3" s="71">
        <f t="shared" si="1"/>
      </c>
      <c r="R3" s="71">
        <f t="shared" si="1"/>
      </c>
      <c r="S3" s="212">
        <f t="shared" si="2"/>
        <v>100</v>
      </c>
      <c r="T3" s="69">
        <f t="shared" si="3"/>
        <v>-25</v>
      </c>
      <c r="U3" s="262">
        <f t="shared" si="4"/>
        <v>162.19299999999998</v>
      </c>
      <c r="V3" s="207">
        <f t="shared" si="5"/>
        <v>13.432999999999993</v>
      </c>
      <c r="W3" s="113">
        <f t="shared" si="6"/>
        <v>-10</v>
      </c>
      <c r="X3" s="439">
        <f t="shared" si="7"/>
        <v>6</v>
      </c>
      <c r="Y3" s="196">
        <f t="shared" si="8"/>
        <v>10</v>
      </c>
      <c r="Z3" s="196">
        <f>IF($Y3="n/a","",_xlfn.IFERROR(COUNTIF($Y$2:$Y3,"="&amp;Y3),""))</f>
        <v>1</v>
      </c>
      <c r="AA3" s="196">
        <f>COUNTIF($X2:X$2,"&lt;"&amp;X3)</f>
        <v>1</v>
      </c>
      <c r="AB3" s="206">
        <f t="shared" si="9"/>
        <v>75</v>
      </c>
      <c r="AC3" s="212">
        <f t="shared" si="10"/>
        <v>65</v>
      </c>
      <c r="AE3" s="450" t="s">
        <v>5</v>
      </c>
      <c r="AF3" s="505">
        <v>0.00121875</v>
      </c>
      <c r="AG3" s="451">
        <v>0.0008528356481481481</v>
      </c>
      <c r="AH3" s="452">
        <f t="shared" si="11"/>
        <v>0.0020715856481481484</v>
      </c>
    </row>
    <row r="4" spans="1:34" ht="12.75">
      <c r="A4" s="388">
        <v>46</v>
      </c>
      <c r="B4" s="530" t="s">
        <v>232</v>
      </c>
      <c r="C4" s="530" t="str">
        <f aca="true" t="shared" si="12" ref="C4:C56">LOWER(B4)</f>
        <v>dean watchorn</v>
      </c>
      <c r="D4" s="125" t="s">
        <v>16</v>
      </c>
      <c r="E4" s="390" t="s">
        <v>233</v>
      </c>
      <c r="F4" s="153" t="s">
        <v>315</v>
      </c>
      <c r="G4" s="531">
        <f t="shared" si="0"/>
        <v>0.002067511574074074</v>
      </c>
      <c r="H4" s="392">
        <f t="shared" si="1"/>
      </c>
      <c r="I4" s="392">
        <f t="shared" si="1"/>
      </c>
      <c r="J4" s="392">
        <f t="shared" si="1"/>
        <v>75</v>
      </c>
      <c r="K4" s="392">
        <f t="shared" si="1"/>
      </c>
      <c r="L4" s="392">
        <f t="shared" si="1"/>
      </c>
      <c r="M4" s="392">
        <f t="shared" si="1"/>
      </c>
      <c r="N4" s="392">
        <f t="shared" si="1"/>
      </c>
      <c r="O4" s="392">
        <f t="shared" si="1"/>
      </c>
      <c r="P4" s="392">
        <f t="shared" si="1"/>
      </c>
      <c r="Q4" s="392">
        <f t="shared" si="1"/>
      </c>
      <c r="R4" s="392">
        <f t="shared" si="1"/>
      </c>
      <c r="S4" s="212">
        <f t="shared" si="2"/>
        <v>75</v>
      </c>
      <c r="T4" s="390">
        <f t="shared" si="3"/>
        <v>0</v>
      </c>
      <c r="U4" s="393">
        <f t="shared" si="4"/>
        <v>163.59199999999998</v>
      </c>
      <c r="V4" s="394">
        <f t="shared" si="5"/>
        <v>15.041000000000025</v>
      </c>
      <c r="W4" s="532">
        <f t="shared" si="6"/>
        <v>-10</v>
      </c>
      <c r="X4" s="439">
        <f t="shared" si="7"/>
        <v>5</v>
      </c>
      <c r="Y4" s="196">
        <f t="shared" si="8"/>
        <v>9</v>
      </c>
      <c r="Z4" s="196">
        <f>IF($Y4="n/a","",_xlfn.IFERROR(COUNTIF($Y$2:$Y4,"="&amp;Y4),""))</f>
        <v>2</v>
      </c>
      <c r="AA4" s="196">
        <f>COUNTIF($X$2:X3,"&lt;"&amp;X4)</f>
        <v>0</v>
      </c>
      <c r="AB4" s="206">
        <f t="shared" si="9"/>
        <v>75</v>
      </c>
      <c r="AC4" s="212">
        <f t="shared" si="10"/>
        <v>65</v>
      </c>
      <c r="AE4" s="453" t="s">
        <v>4</v>
      </c>
      <c r="AF4" s="454">
        <v>0.0011998611111111112</v>
      </c>
      <c r="AG4" s="454">
        <v>0.0008293402777777778</v>
      </c>
      <c r="AH4" s="455">
        <f t="shared" si="11"/>
        <v>0.002029201388888889</v>
      </c>
    </row>
    <row r="5" spans="1:34" ht="12.75">
      <c r="A5" s="112">
        <v>39</v>
      </c>
      <c r="B5" s="537" t="s">
        <v>219</v>
      </c>
      <c r="C5" s="537" t="str">
        <f t="shared" si="12"/>
        <v>paul ledwith</v>
      </c>
      <c r="D5" s="506" t="s">
        <v>13</v>
      </c>
      <c r="E5" s="69" t="s">
        <v>220</v>
      </c>
      <c r="F5" s="538" t="s">
        <v>323</v>
      </c>
      <c r="G5" s="539">
        <f t="shared" si="0"/>
        <v>0.0020808217592592593</v>
      </c>
      <c r="H5" s="71">
        <f t="shared" si="1"/>
      </c>
      <c r="I5" s="71">
        <f t="shared" si="1"/>
        <v>75</v>
      </c>
      <c r="J5" s="71">
        <f t="shared" si="1"/>
      </c>
      <c r="K5" s="71">
        <f t="shared" si="1"/>
      </c>
      <c r="L5" s="71">
        <f t="shared" si="1"/>
      </c>
      <c r="M5" s="71">
        <f t="shared" si="1"/>
      </c>
      <c r="N5" s="71">
        <f t="shared" si="1"/>
      </c>
      <c r="O5" s="71">
        <f t="shared" si="1"/>
      </c>
      <c r="P5" s="71">
        <f t="shared" si="1"/>
      </c>
      <c r="Q5" s="71">
        <f t="shared" si="1"/>
      </c>
      <c r="R5" s="71">
        <f t="shared" si="1"/>
      </c>
      <c r="S5" s="212">
        <f t="shared" si="2"/>
        <v>75</v>
      </c>
      <c r="T5" s="69">
        <f t="shared" si="3"/>
        <v>-30</v>
      </c>
      <c r="U5" s="262">
        <f t="shared" si="4"/>
        <v>162.19299999999998</v>
      </c>
      <c r="V5" s="207">
        <f t="shared" si="5"/>
        <v>17.590000000000003</v>
      </c>
      <c r="W5" s="113">
        <f t="shared" si="6"/>
        <v>-10</v>
      </c>
      <c r="X5" s="439">
        <f t="shared" si="7"/>
        <v>6</v>
      </c>
      <c r="Y5" s="196">
        <f t="shared" si="8"/>
        <v>10</v>
      </c>
      <c r="Z5" s="196">
        <f>IF($Y5="n/a","",_xlfn.IFERROR(COUNTIF($Y$2:$Y5,"="&amp;Y5),""))</f>
        <v>2</v>
      </c>
      <c r="AA5" s="196">
        <f>COUNTIF($X$2:X4,"&lt;"&amp;X5)</f>
        <v>2</v>
      </c>
      <c r="AB5" s="206">
        <f t="shared" si="9"/>
        <v>45</v>
      </c>
      <c r="AC5" s="212">
        <f t="shared" si="10"/>
        <v>35</v>
      </c>
      <c r="AE5" s="456" t="s">
        <v>50</v>
      </c>
      <c r="AF5" s="512">
        <v>0.001192476851851852</v>
      </c>
      <c r="AG5" s="457">
        <v>0.0008423611111111111</v>
      </c>
      <c r="AH5" s="458">
        <f t="shared" si="11"/>
        <v>0.002034837962962963</v>
      </c>
    </row>
    <row r="6" spans="1:34" ht="12.75">
      <c r="A6" s="112">
        <v>124</v>
      </c>
      <c r="B6" s="537" t="s">
        <v>211</v>
      </c>
      <c r="C6" s="537" t="str">
        <f t="shared" si="12"/>
        <v>ray monik</v>
      </c>
      <c r="D6" s="506" t="s">
        <v>13</v>
      </c>
      <c r="E6" s="69" t="s">
        <v>228</v>
      </c>
      <c r="F6" s="538" t="s">
        <v>319</v>
      </c>
      <c r="G6" s="539">
        <f t="shared" si="0"/>
        <v>0.00208875</v>
      </c>
      <c r="H6" s="71">
        <f t="shared" si="1"/>
      </c>
      <c r="I6" s="71">
        <f t="shared" si="1"/>
        <v>60</v>
      </c>
      <c r="J6" s="71">
        <f t="shared" si="1"/>
      </c>
      <c r="K6" s="71">
        <f t="shared" si="1"/>
      </c>
      <c r="L6" s="71">
        <f t="shared" si="1"/>
      </c>
      <c r="M6" s="71">
        <f t="shared" si="1"/>
      </c>
      <c r="N6" s="71">
        <f t="shared" si="1"/>
      </c>
      <c r="O6" s="71">
        <f t="shared" si="1"/>
      </c>
      <c r="P6" s="71">
        <f t="shared" si="1"/>
      </c>
      <c r="Q6" s="71">
        <f t="shared" si="1"/>
      </c>
      <c r="R6" s="71">
        <f t="shared" si="1"/>
      </c>
      <c r="S6" s="212">
        <f t="shared" si="2"/>
        <v>60</v>
      </c>
      <c r="T6" s="69">
        <f t="shared" si="3"/>
        <v>-30</v>
      </c>
      <c r="U6" s="262">
        <f t="shared" si="4"/>
        <v>162.19299999999998</v>
      </c>
      <c r="V6" s="207">
        <f t="shared" si="5"/>
        <v>18.275000000000006</v>
      </c>
      <c r="W6" s="113">
        <f t="shared" si="6"/>
        <v>-10</v>
      </c>
      <c r="X6" s="439">
        <f t="shared" si="7"/>
        <v>6</v>
      </c>
      <c r="Y6" s="196">
        <f t="shared" si="8"/>
        <v>10</v>
      </c>
      <c r="Z6" s="196">
        <f>IF($Y6="n/a","",_xlfn.IFERROR(COUNTIF($Y$2:$Y6,"="&amp;Y6),""))</f>
        <v>3</v>
      </c>
      <c r="AA6" s="196">
        <f>COUNTIF($X$2:X5,"&lt;"&amp;X6)</f>
        <v>2</v>
      </c>
      <c r="AB6" s="206">
        <f t="shared" si="9"/>
        <v>30</v>
      </c>
      <c r="AC6" s="212">
        <f t="shared" si="10"/>
        <v>20</v>
      </c>
      <c r="AE6" s="459" t="s">
        <v>22</v>
      </c>
      <c r="AF6" s="460">
        <v>0.0012158101851851852</v>
      </c>
      <c r="AG6" s="461">
        <v>0.0008229166666666667</v>
      </c>
      <c r="AH6" s="462">
        <f t="shared" si="11"/>
        <v>0.002038726851851852</v>
      </c>
    </row>
    <row r="7" spans="1:34" ht="12.75">
      <c r="A7" s="103">
        <v>88</v>
      </c>
      <c r="B7" s="540" t="s">
        <v>367</v>
      </c>
      <c r="C7" s="541" t="str">
        <f t="shared" si="12"/>
        <v>randy stagno navarra</v>
      </c>
      <c r="D7" s="39" t="s">
        <v>52</v>
      </c>
      <c r="E7" s="353" t="s">
        <v>229</v>
      </c>
      <c r="F7" s="41" t="s">
        <v>320</v>
      </c>
      <c r="G7" s="542">
        <f t="shared" si="0"/>
        <v>0.0020965046296296296</v>
      </c>
      <c r="H7" s="402">
        <f t="shared" si="1"/>
      </c>
      <c r="I7" s="402">
        <f t="shared" si="1"/>
      </c>
      <c r="J7" s="402">
        <f t="shared" si="1"/>
      </c>
      <c r="K7" s="402">
        <f t="shared" si="1"/>
        <v>100</v>
      </c>
      <c r="L7" s="402">
        <f t="shared" si="1"/>
      </c>
      <c r="M7" s="402">
        <f t="shared" si="1"/>
      </c>
      <c r="N7" s="402">
        <f t="shared" si="1"/>
      </c>
      <c r="O7" s="402">
        <f t="shared" si="1"/>
      </c>
      <c r="P7" s="402">
        <f t="shared" si="1"/>
      </c>
      <c r="Q7" s="402">
        <f t="shared" si="1"/>
      </c>
      <c r="R7" s="402">
        <f t="shared" si="1"/>
      </c>
      <c r="S7" s="212">
        <f t="shared" si="2"/>
        <v>100</v>
      </c>
      <c r="T7" s="345">
        <f t="shared" si="3"/>
        <v>0</v>
      </c>
      <c r="U7" s="403">
        <f t="shared" si="4"/>
        <v>171.45399999999998</v>
      </c>
      <c r="V7" s="404">
        <f t="shared" si="5"/>
        <v>9.684000000000026</v>
      </c>
      <c r="W7" s="346">
        <f t="shared" si="6"/>
        <v>-10</v>
      </c>
      <c r="X7" s="439">
        <f t="shared" si="7"/>
        <v>4</v>
      </c>
      <c r="Y7" s="196">
        <f t="shared" si="8"/>
        <v>8</v>
      </c>
      <c r="Z7" s="196">
        <f>IF($Y7="n/a","",_xlfn.IFERROR(COUNTIF($Y$2:$Y7,"="&amp;Y7),""))</f>
        <v>1</v>
      </c>
      <c r="AA7" s="196">
        <f>COUNTIF($X$2:X6,"&lt;"&amp;X7)</f>
        <v>0</v>
      </c>
      <c r="AB7" s="206">
        <f t="shared" si="9"/>
        <v>100</v>
      </c>
      <c r="AC7" s="212">
        <f t="shared" si="10"/>
        <v>90</v>
      </c>
      <c r="AE7" s="463" t="s">
        <v>21</v>
      </c>
      <c r="AF7" s="517">
        <v>0.0012108449074074072</v>
      </c>
      <c r="AG7" s="464">
        <v>0.0008359259259259258</v>
      </c>
      <c r="AH7" s="465">
        <f t="shared" si="11"/>
        <v>0.002046770833333333</v>
      </c>
    </row>
    <row r="8" spans="1:34" ht="12.75">
      <c r="A8" s="348">
        <v>83</v>
      </c>
      <c r="B8" s="496" t="s">
        <v>243</v>
      </c>
      <c r="C8" s="496" t="str">
        <f t="shared" si="12"/>
        <v>dennis chiswick</v>
      </c>
      <c r="D8" s="8" t="s">
        <v>215</v>
      </c>
      <c r="E8" s="8" t="s">
        <v>244</v>
      </c>
      <c r="F8" s="17" t="s">
        <v>317</v>
      </c>
      <c r="G8" s="497">
        <f t="shared" si="0"/>
        <v>0.0021009953703703703</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12">
        <f t="shared" si="2"/>
        <v>0</v>
      </c>
      <c r="T8" s="12">
        <f t="shared" si="3"/>
        <v>0</v>
      </c>
      <c r="U8" s="155">
        <f t="shared" si="4"/>
      </c>
      <c r="V8" s="209"/>
      <c r="W8" s="104"/>
      <c r="X8" s="439" t="str">
        <f t="shared" si="7"/>
        <v>n/a</v>
      </c>
      <c r="Y8" s="196" t="str">
        <f t="shared" si="8"/>
        <v>n/a</v>
      </c>
      <c r="Z8" s="196">
        <f>IF($Y8="n/a","",_xlfn.IFERROR(COUNTIF($Y$2:$Y8,"="&amp;Y8),""))</f>
      </c>
      <c r="AA8" s="196">
        <f>COUNTIF($X$2:X7,"&lt;"&amp;X8)</f>
        <v>0</v>
      </c>
      <c r="AB8" s="206">
        <f t="shared" si="9"/>
        <v>0</v>
      </c>
      <c r="AC8" s="212">
        <f t="shared" si="10"/>
        <v>0</v>
      </c>
      <c r="AE8" s="466" t="s">
        <v>51</v>
      </c>
      <c r="AF8" s="513">
        <v>0.0011904398148148147</v>
      </c>
      <c r="AG8" s="513">
        <v>0.0008464120370370371</v>
      </c>
      <c r="AH8" s="467">
        <f t="shared" si="11"/>
        <v>0.0020368518518518518</v>
      </c>
    </row>
    <row r="9" spans="1:34" ht="12.75">
      <c r="A9" s="348">
        <v>112</v>
      </c>
      <c r="B9" s="496" t="s">
        <v>245</v>
      </c>
      <c r="C9" s="496" t="str">
        <f t="shared" si="12"/>
        <v>malcolm steel</v>
      </c>
      <c r="D9" s="8" t="s">
        <v>215</v>
      </c>
      <c r="E9" s="8" t="s">
        <v>246</v>
      </c>
      <c r="F9" s="17" t="s">
        <v>321</v>
      </c>
      <c r="G9" s="497">
        <f t="shared" si="0"/>
        <v>0.0021309953703703703</v>
      </c>
      <c r="H9" s="248">
        <f t="shared" si="1"/>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12">
        <f t="shared" si="2"/>
        <v>0</v>
      </c>
      <c r="T9" s="12">
        <f t="shared" si="3"/>
        <v>0</v>
      </c>
      <c r="U9" s="155">
        <f t="shared" si="4"/>
      </c>
      <c r="V9" s="209"/>
      <c r="W9" s="104"/>
      <c r="X9" s="439" t="str">
        <f t="shared" si="7"/>
        <v>n/a</v>
      </c>
      <c r="Y9" s="196" t="str">
        <f t="shared" si="8"/>
        <v>n/a</v>
      </c>
      <c r="Z9" s="196">
        <f>IF($Y9="n/a","",_xlfn.IFERROR(COUNTIF($Y$2:$Y9,"="&amp;Y9),""))</f>
      </c>
      <c r="AA9" s="196">
        <f>COUNTIF($X$2:X8,"&lt;"&amp;X9)</f>
        <v>0</v>
      </c>
      <c r="AB9" s="206">
        <f t="shared" si="9"/>
        <v>0</v>
      </c>
      <c r="AC9" s="212">
        <f t="shared" si="10"/>
        <v>0</v>
      </c>
      <c r="AE9" s="468" t="s">
        <v>52</v>
      </c>
      <c r="AF9" s="514">
        <v>0.0011662962962962964</v>
      </c>
      <c r="AG9" s="514">
        <v>0.000818125</v>
      </c>
      <c r="AH9" s="469">
        <f t="shared" si="11"/>
        <v>0.001984421296296296</v>
      </c>
    </row>
    <row r="10" spans="1:34" ht="12.75">
      <c r="A10" s="112">
        <v>27</v>
      </c>
      <c r="B10" s="537" t="s">
        <v>230</v>
      </c>
      <c r="C10" s="537" t="str">
        <f t="shared" si="12"/>
        <v>kim cole</v>
      </c>
      <c r="D10" s="506" t="s">
        <v>13</v>
      </c>
      <c r="E10" s="69" t="s">
        <v>231</v>
      </c>
      <c r="F10" s="538" t="s">
        <v>333</v>
      </c>
      <c r="G10" s="539">
        <f t="shared" si="0"/>
        <v>0.002133020833333333</v>
      </c>
      <c r="H10" s="71">
        <f t="shared" si="1"/>
      </c>
      <c r="I10" s="71">
        <f t="shared" si="1"/>
        <v>45</v>
      </c>
      <c r="J10" s="71">
        <f t="shared" si="1"/>
      </c>
      <c r="K10" s="71">
        <f t="shared" si="1"/>
      </c>
      <c r="L10" s="71">
        <f t="shared" si="1"/>
      </c>
      <c r="M10" s="71">
        <f t="shared" si="1"/>
      </c>
      <c r="N10" s="71">
        <f t="shared" si="1"/>
      </c>
      <c r="O10" s="71">
        <f t="shared" si="1"/>
      </c>
      <c r="P10" s="71">
        <f t="shared" si="1"/>
      </c>
      <c r="Q10" s="71">
        <f t="shared" si="1"/>
      </c>
      <c r="R10" s="71">
        <f t="shared" si="1"/>
      </c>
      <c r="S10" s="212">
        <f t="shared" si="2"/>
        <v>45</v>
      </c>
      <c r="T10" s="69">
        <f t="shared" si="3"/>
        <v>-30</v>
      </c>
      <c r="U10" s="262">
        <f t="shared" si="4"/>
        <v>162.19299999999998</v>
      </c>
      <c r="V10" s="207">
        <f>(($G10*86400)-U10)</f>
        <v>22.099999999999994</v>
      </c>
      <c r="W10" s="113">
        <f t="shared" si="6"/>
        <v>-10</v>
      </c>
      <c r="X10" s="439">
        <f t="shared" si="7"/>
        <v>6</v>
      </c>
      <c r="Y10" s="196">
        <f t="shared" si="8"/>
        <v>10</v>
      </c>
      <c r="Z10" s="196">
        <f>IF($Y10="n/a","",_xlfn.IFERROR(COUNTIF($Y$2:$Y10,"="&amp;Y10),""))</f>
        <v>4</v>
      </c>
      <c r="AA10" s="196">
        <f>COUNTIF($X$2:X9,"&lt;"&amp;X10)</f>
        <v>3</v>
      </c>
      <c r="AB10" s="206">
        <f t="shared" si="9"/>
        <v>15</v>
      </c>
      <c r="AC10" s="212">
        <f t="shared" si="10"/>
        <v>5</v>
      </c>
      <c r="AE10" s="470" t="s">
        <v>16</v>
      </c>
      <c r="AF10" s="515">
        <v>0.001119988425925926</v>
      </c>
      <c r="AG10" s="471">
        <v>0.0007734374999999999</v>
      </c>
      <c r="AH10" s="472">
        <f>((AF10*86400)+(AG10*86400))/86400</f>
        <v>0.0018934259259259258</v>
      </c>
    </row>
    <row r="11" spans="1:34" ht="12.75">
      <c r="A11" s="348">
        <v>30</v>
      </c>
      <c r="B11" s="496" t="s">
        <v>241</v>
      </c>
      <c r="C11" s="496" t="str">
        <f t="shared" si="12"/>
        <v>gustavo elias</v>
      </c>
      <c r="D11" s="8" t="s">
        <v>215</v>
      </c>
      <c r="E11" s="8" t="s">
        <v>242</v>
      </c>
      <c r="F11" s="17" t="s">
        <v>322</v>
      </c>
      <c r="G11" s="497">
        <f t="shared" si="0"/>
        <v>0.0021349189814814816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12">
        <f t="shared" si="2"/>
        <v>0</v>
      </c>
      <c r="T11" s="12">
        <f t="shared" si="3"/>
        <v>0</v>
      </c>
      <c r="U11" s="155">
        <f t="shared" si="4"/>
      </c>
      <c r="V11" s="209"/>
      <c r="W11" s="104"/>
      <c r="X11" s="439" t="str">
        <f t="shared" si="7"/>
        <v>n/a</v>
      </c>
      <c r="Y11" s="196" t="str">
        <f t="shared" si="8"/>
        <v>n/a</v>
      </c>
      <c r="Z11" s="196">
        <f>IF($Y11="n/a","",_xlfn.IFERROR(COUNTIF($Y$2:$Y11,"="&amp;Y11),""))</f>
      </c>
      <c r="AA11" s="196">
        <f>COUNTIF($X$2:X10,"&lt;"&amp;X11)</f>
        <v>0</v>
      </c>
      <c r="AB11" s="206">
        <f t="shared" si="9"/>
        <v>0</v>
      </c>
      <c r="AC11" s="212">
        <f t="shared" si="10"/>
        <v>0</v>
      </c>
      <c r="AE11" s="473" t="s">
        <v>13</v>
      </c>
      <c r="AF11" s="474">
        <v>0.001110150462962963</v>
      </c>
      <c r="AG11" s="474">
        <v>0.0007670833333333333</v>
      </c>
      <c r="AH11" s="475">
        <f>((AF11*86400)+(AG11*86400))/86400</f>
        <v>0.0018772337962962961</v>
      </c>
    </row>
    <row r="12" spans="1:34" ht="13.5" thickBot="1">
      <c r="A12" s="276">
        <v>21</v>
      </c>
      <c r="B12" s="543" t="s">
        <v>213</v>
      </c>
      <c r="C12" s="543" t="str">
        <f t="shared" si="12"/>
        <v>gavin newman</v>
      </c>
      <c r="D12" s="335" t="s">
        <v>51</v>
      </c>
      <c r="E12" s="521" t="s">
        <v>249</v>
      </c>
      <c r="F12" s="290" t="s">
        <v>318</v>
      </c>
      <c r="G12" s="544">
        <f t="shared" si="0"/>
        <v>0.002135</v>
      </c>
      <c r="H12" s="274">
        <f aca="true" t="shared" si="13" ref="H12:R21">IF($D12=H$1,$S12,"")</f>
      </c>
      <c r="I12" s="274">
        <f t="shared" si="13"/>
      </c>
      <c r="J12" s="274">
        <f t="shared" si="13"/>
      </c>
      <c r="K12" s="274">
        <f t="shared" si="13"/>
      </c>
      <c r="L12" s="274">
        <f t="shared" si="13"/>
        <v>100</v>
      </c>
      <c r="M12" s="274">
        <f t="shared" si="13"/>
      </c>
      <c r="N12" s="274">
        <f t="shared" si="13"/>
      </c>
      <c r="O12" s="274">
        <f t="shared" si="13"/>
      </c>
      <c r="P12" s="274">
        <f t="shared" si="13"/>
      </c>
      <c r="Q12" s="274">
        <f t="shared" si="13"/>
      </c>
      <c r="R12" s="274">
        <f t="shared" si="13"/>
      </c>
      <c r="S12" s="212">
        <f t="shared" si="2"/>
        <v>100</v>
      </c>
      <c r="T12" s="521">
        <f t="shared" si="3"/>
        <v>0</v>
      </c>
      <c r="U12" s="277">
        <f t="shared" si="4"/>
        <v>175.98399999999998</v>
      </c>
      <c r="V12" s="278">
        <f>(($G12*86400)-U12)</f>
        <v>8.480000000000047</v>
      </c>
      <c r="W12" s="156">
        <f t="shared" si="6"/>
        <v>-10</v>
      </c>
      <c r="X12" s="439">
        <f t="shared" si="7"/>
        <v>4</v>
      </c>
      <c r="Y12" s="196">
        <f t="shared" si="8"/>
        <v>7</v>
      </c>
      <c r="Z12" s="196">
        <f>IF($Y12="n/a","",_xlfn.IFERROR(COUNTIF($Y$2:$Y12,"="&amp;Y12),""))</f>
        <v>1</v>
      </c>
      <c r="AA12" s="196">
        <f>COUNTIF($X$2:X11,"&lt;"&amp;X12)</f>
        <v>0</v>
      </c>
      <c r="AB12" s="206">
        <f t="shared" si="9"/>
        <v>100</v>
      </c>
      <c r="AC12" s="212">
        <f t="shared" si="10"/>
        <v>90</v>
      </c>
      <c r="AE12" s="476" t="s">
        <v>14</v>
      </c>
      <c r="AF12" s="516">
        <v>0.0011170138888888887</v>
      </c>
      <c r="AG12" s="477">
        <v>0.0007424652777777778</v>
      </c>
      <c r="AH12" s="478">
        <f>((AF12*86400)+(AG12*86400))/86400</f>
        <v>0.0018594791666666666</v>
      </c>
    </row>
    <row r="13" spans="1:29" ht="12.75">
      <c r="A13" s="388">
        <v>92</v>
      </c>
      <c r="B13" s="530" t="s">
        <v>237</v>
      </c>
      <c r="C13" s="530" t="str">
        <f t="shared" si="12"/>
        <v>robert parr</v>
      </c>
      <c r="D13" s="125" t="s">
        <v>16</v>
      </c>
      <c r="E13" s="390" t="s">
        <v>238</v>
      </c>
      <c r="F13" s="153" t="s">
        <v>331</v>
      </c>
      <c r="G13" s="531">
        <f t="shared" si="0"/>
        <v>0.002144837962962963</v>
      </c>
      <c r="H13" s="392">
        <f t="shared" si="13"/>
      </c>
      <c r="I13" s="392">
        <f t="shared" si="13"/>
      </c>
      <c r="J13" s="392">
        <f t="shared" si="13"/>
        <v>60</v>
      </c>
      <c r="K13" s="392">
        <f t="shared" si="13"/>
      </c>
      <c r="L13" s="392">
        <f t="shared" si="13"/>
      </c>
      <c r="M13" s="392">
        <f t="shared" si="13"/>
      </c>
      <c r="N13" s="392">
        <f t="shared" si="13"/>
      </c>
      <c r="O13" s="392">
        <f t="shared" si="13"/>
      </c>
      <c r="P13" s="392">
        <f t="shared" si="13"/>
      </c>
      <c r="Q13" s="392">
        <f t="shared" si="13"/>
      </c>
      <c r="R13" s="392">
        <f t="shared" si="13"/>
      </c>
      <c r="S13" s="212">
        <f t="shared" si="2"/>
        <v>60</v>
      </c>
      <c r="T13" s="390">
        <f t="shared" si="3"/>
        <v>-30</v>
      </c>
      <c r="U13" s="393">
        <f t="shared" si="4"/>
        <v>163.59199999999998</v>
      </c>
      <c r="V13" s="394">
        <f>(($G13*86400)-U13)</f>
        <v>21.72200000000001</v>
      </c>
      <c r="W13" s="532">
        <f t="shared" si="6"/>
        <v>-10</v>
      </c>
      <c r="X13" s="439">
        <f t="shared" si="7"/>
        <v>5</v>
      </c>
      <c r="Y13" s="196">
        <f t="shared" si="8"/>
        <v>9</v>
      </c>
      <c r="Z13" s="196">
        <f>IF($Y13="n/a","",_xlfn.IFERROR(COUNTIF($Y$2:$Y13,"="&amp;Y13),""))</f>
        <v>3</v>
      </c>
      <c r="AA13" s="196">
        <f>COUNTIF($X$2:X12,"&lt;"&amp;X13)</f>
        <v>2</v>
      </c>
      <c r="AB13" s="206">
        <f t="shared" si="9"/>
        <v>30</v>
      </c>
      <c r="AC13" s="212">
        <f t="shared" si="10"/>
        <v>20</v>
      </c>
    </row>
    <row r="14" spans="1:29" ht="12.75">
      <c r="A14" s="103">
        <v>50</v>
      </c>
      <c r="B14" s="541" t="s">
        <v>205</v>
      </c>
      <c r="C14" s="541" t="str">
        <f t="shared" si="12"/>
        <v>alan conrad</v>
      </c>
      <c r="D14" s="39" t="s">
        <v>52</v>
      </c>
      <c r="E14" s="345" t="s">
        <v>234</v>
      </c>
      <c r="F14" s="41" t="s">
        <v>336</v>
      </c>
      <c r="G14" s="542">
        <f t="shared" si="0"/>
        <v>0.0021490856481481482</v>
      </c>
      <c r="H14" s="402">
        <f t="shared" si="13"/>
      </c>
      <c r="I14" s="402">
        <f t="shared" si="13"/>
      </c>
      <c r="J14" s="402">
        <f t="shared" si="13"/>
      </c>
      <c r="K14" s="402">
        <f t="shared" si="13"/>
        <v>75</v>
      </c>
      <c r="L14" s="402">
        <f t="shared" si="13"/>
      </c>
      <c r="M14" s="402">
        <f t="shared" si="13"/>
      </c>
      <c r="N14" s="402">
        <f t="shared" si="13"/>
      </c>
      <c r="O14" s="402">
        <f t="shared" si="13"/>
      </c>
      <c r="P14" s="402">
        <f t="shared" si="13"/>
      </c>
      <c r="Q14" s="402">
        <f t="shared" si="13"/>
      </c>
      <c r="R14" s="402">
        <f t="shared" si="13"/>
      </c>
      <c r="S14" s="212">
        <f t="shared" si="2"/>
        <v>75</v>
      </c>
      <c r="T14" s="345">
        <f t="shared" si="3"/>
        <v>0</v>
      </c>
      <c r="U14" s="403">
        <f t="shared" si="4"/>
        <v>171.45399999999998</v>
      </c>
      <c r="V14" s="404">
        <f>(($G14*86400)-U14)</f>
        <v>14.227000000000032</v>
      </c>
      <c r="W14" s="346">
        <f t="shared" si="6"/>
        <v>-10</v>
      </c>
      <c r="X14" s="439">
        <f t="shared" si="7"/>
        <v>4</v>
      </c>
      <c r="Y14" s="196">
        <f t="shared" si="8"/>
        <v>8</v>
      </c>
      <c r="Z14" s="196">
        <f>IF($Y14="n/a","",_xlfn.IFERROR(COUNTIF($Y$2:$Y14,"="&amp;Y14),""))</f>
        <v>2</v>
      </c>
      <c r="AA14" s="196">
        <f>COUNTIF($X$2:X13,"&lt;"&amp;X14)</f>
        <v>0</v>
      </c>
      <c r="AB14" s="206">
        <f t="shared" si="9"/>
        <v>75</v>
      </c>
      <c r="AC14" s="212">
        <f t="shared" si="10"/>
        <v>65</v>
      </c>
    </row>
    <row r="15" spans="1:29" ht="12.75">
      <c r="A15" s="348">
        <v>79</v>
      </c>
      <c r="B15" s="554" t="s">
        <v>239</v>
      </c>
      <c r="C15" s="554" t="str">
        <f t="shared" si="12"/>
        <v>dean hasnat</v>
      </c>
      <c r="D15" s="4" t="s">
        <v>26</v>
      </c>
      <c r="E15" s="4" t="s">
        <v>240</v>
      </c>
      <c r="F15" s="7" t="s">
        <v>330</v>
      </c>
      <c r="G15" s="555">
        <f t="shared" si="0"/>
        <v>0.0021495601851851853</v>
      </c>
      <c r="H15" s="248">
        <f t="shared" si="13"/>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12">
        <f t="shared" si="2"/>
        <v>0</v>
      </c>
      <c r="T15" s="12">
        <f t="shared" si="3"/>
        <v>0</v>
      </c>
      <c r="U15" s="155">
        <f t="shared" si="4"/>
      </c>
      <c r="V15" s="209"/>
      <c r="W15" s="104"/>
      <c r="X15" s="439" t="str">
        <f t="shared" si="7"/>
        <v>n/a</v>
      </c>
      <c r="Y15" s="196" t="str">
        <f t="shared" si="8"/>
        <v>n/a</v>
      </c>
      <c r="Z15" s="196">
        <f>IF($Y15="n/a","",_xlfn.IFERROR(COUNTIF($Y$2:$Y15,"="&amp;Y15),""))</f>
      </c>
      <c r="AA15" s="196">
        <f>COUNTIF($X$2:X14,"&lt;"&amp;X15)</f>
        <v>0</v>
      </c>
      <c r="AB15" s="206">
        <f t="shared" si="9"/>
        <v>0</v>
      </c>
      <c r="AC15" s="212">
        <f t="shared" si="10"/>
        <v>0</v>
      </c>
    </row>
    <row r="16" spans="1:29" ht="12.75">
      <c r="A16" s="112">
        <v>555</v>
      </c>
      <c r="B16" s="537" t="s">
        <v>235</v>
      </c>
      <c r="C16" s="537" t="str">
        <f t="shared" si="12"/>
        <v>tim meaden</v>
      </c>
      <c r="D16" s="506" t="s">
        <v>13</v>
      </c>
      <c r="E16" s="69" t="s">
        <v>236</v>
      </c>
      <c r="F16" s="538" t="s">
        <v>338</v>
      </c>
      <c r="G16" s="539">
        <f t="shared" si="0"/>
        <v>0.0021525694444444444</v>
      </c>
      <c r="H16" s="71">
        <f t="shared" si="13"/>
      </c>
      <c r="I16" s="71">
        <f t="shared" si="13"/>
        <v>30</v>
      </c>
      <c r="J16" s="71">
        <f t="shared" si="13"/>
      </c>
      <c r="K16" s="71">
        <f t="shared" si="13"/>
      </c>
      <c r="L16" s="71">
        <f t="shared" si="13"/>
      </c>
      <c r="M16" s="71">
        <f t="shared" si="13"/>
      </c>
      <c r="N16" s="71">
        <f t="shared" si="13"/>
      </c>
      <c r="O16" s="71">
        <f t="shared" si="13"/>
      </c>
      <c r="P16" s="71">
        <f t="shared" si="13"/>
      </c>
      <c r="Q16" s="71">
        <f t="shared" si="13"/>
      </c>
      <c r="R16" s="71">
        <f t="shared" si="13"/>
      </c>
      <c r="S16" s="212">
        <f t="shared" si="2"/>
        <v>30</v>
      </c>
      <c r="T16" s="69">
        <f t="shared" si="3"/>
        <v>-15</v>
      </c>
      <c r="U16" s="262">
        <f t="shared" si="4"/>
        <v>162.19299999999998</v>
      </c>
      <c r="V16" s="207">
        <f>(($G16*86400)-U16)</f>
        <v>23.789000000000016</v>
      </c>
      <c r="W16" s="113">
        <f>IF(V16&lt;=0,10,IF(V16&lt;1,5,IF(V16&lt;2,0,IF(V16&lt;3,-5,-10))))</f>
        <v>-10</v>
      </c>
      <c r="X16" s="439">
        <f t="shared" si="7"/>
        <v>6</v>
      </c>
      <c r="Y16" s="196">
        <f t="shared" si="8"/>
        <v>10</v>
      </c>
      <c r="Z16" s="196">
        <f>IF($Y16="n/a","",_xlfn.IFERROR(COUNTIF($Y$2:$Y16,"="&amp;Y16),""))</f>
        <v>5</v>
      </c>
      <c r="AA16" s="196">
        <f>COUNTIF($X$2:X15,"&lt;"&amp;X16)</f>
        <v>6</v>
      </c>
      <c r="AB16" s="206">
        <f t="shared" si="9"/>
        <v>15</v>
      </c>
      <c r="AC16" s="212">
        <f t="shared" si="10"/>
        <v>5</v>
      </c>
    </row>
    <row r="17" spans="1:29" ht="12.75">
      <c r="A17" s="348">
        <v>15</v>
      </c>
      <c r="B17" s="496" t="s">
        <v>252</v>
      </c>
      <c r="C17" s="496" t="str">
        <f t="shared" si="12"/>
        <v>andrew digney</v>
      </c>
      <c r="D17" s="8" t="s">
        <v>215</v>
      </c>
      <c r="E17" s="8" t="s">
        <v>253</v>
      </c>
      <c r="F17" s="17" t="s">
        <v>327</v>
      </c>
      <c r="G17" s="497">
        <f t="shared" si="0"/>
        <v>0.0021733912037037034</v>
      </c>
      <c r="H17" s="248">
        <f t="shared" si="13"/>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12">
        <f t="shared" si="2"/>
        <v>0</v>
      </c>
      <c r="T17" s="12">
        <f t="shared" si="3"/>
        <v>0</v>
      </c>
      <c r="U17" s="155">
        <f t="shared" si="4"/>
      </c>
      <c r="V17" s="209"/>
      <c r="W17" s="104"/>
      <c r="X17" s="439" t="str">
        <f t="shared" si="7"/>
        <v>n/a</v>
      </c>
      <c r="Y17" s="196" t="str">
        <f t="shared" si="8"/>
        <v>n/a</v>
      </c>
      <c r="Z17" s="196">
        <f>IF($Y17="n/a","",_xlfn.IFERROR(COUNTIF($Y$2:$Y17,"="&amp;Y17),""))</f>
      </c>
      <c r="AA17" s="196">
        <f>COUNTIF($X$2:X16,"&lt;"&amp;X17)</f>
        <v>0</v>
      </c>
      <c r="AB17" s="206">
        <f t="shared" si="9"/>
        <v>0</v>
      </c>
      <c r="AC17" s="212">
        <f t="shared" si="10"/>
        <v>0</v>
      </c>
    </row>
    <row r="18" spans="1:29" ht="12.75">
      <c r="A18" s="348">
        <v>13</v>
      </c>
      <c r="B18" s="496" t="s">
        <v>247</v>
      </c>
      <c r="C18" s="496" t="str">
        <f t="shared" si="12"/>
        <v>luke kovacic</v>
      </c>
      <c r="D18" s="8" t="s">
        <v>215</v>
      </c>
      <c r="E18" s="8" t="s">
        <v>248</v>
      </c>
      <c r="F18" s="17" t="s">
        <v>334</v>
      </c>
      <c r="G18" s="497">
        <f t="shared" si="0"/>
        <v>0.002178784722222222</v>
      </c>
      <c r="H18" s="248">
        <f t="shared" si="13"/>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12">
        <f t="shared" si="2"/>
        <v>0</v>
      </c>
      <c r="T18" s="12">
        <f t="shared" si="3"/>
        <v>0</v>
      </c>
      <c r="U18" s="155">
        <f t="shared" si="4"/>
      </c>
      <c r="V18" s="209"/>
      <c r="W18" s="104"/>
      <c r="X18" s="439" t="str">
        <f t="shared" si="7"/>
        <v>n/a</v>
      </c>
      <c r="Y18" s="196" t="str">
        <f t="shared" si="8"/>
        <v>n/a</v>
      </c>
      <c r="Z18" s="196">
        <f>IF($Y18="n/a","",_xlfn.IFERROR(COUNTIF($Y$2:$Y18,"="&amp;Y18),""))</f>
      </c>
      <c r="AA18" s="196">
        <f>COUNTIF($X$2:X17,"&lt;"&amp;X18)</f>
        <v>0</v>
      </c>
      <c r="AB18" s="206">
        <f t="shared" si="9"/>
        <v>0</v>
      </c>
      <c r="AC18" s="212">
        <f t="shared" si="10"/>
        <v>0</v>
      </c>
    </row>
    <row r="19" spans="1:29" ht="12.75">
      <c r="A19" s="281">
        <v>26</v>
      </c>
      <c r="B19" s="545" t="s">
        <v>206</v>
      </c>
      <c r="C19" s="545" t="str">
        <f t="shared" si="12"/>
        <v>robert downes</v>
      </c>
      <c r="D19" s="509" t="s">
        <v>4</v>
      </c>
      <c r="E19" s="424" t="s">
        <v>263</v>
      </c>
      <c r="F19" s="546" t="s">
        <v>329</v>
      </c>
      <c r="G19" s="547">
        <f t="shared" si="0"/>
        <v>0.0022050578703703702</v>
      </c>
      <c r="H19" s="279">
        <f t="shared" si="13"/>
      </c>
      <c r="I19" s="279">
        <f t="shared" si="13"/>
      </c>
      <c r="J19" s="279">
        <f t="shared" si="13"/>
      </c>
      <c r="K19" s="279">
        <f t="shared" si="13"/>
      </c>
      <c r="L19" s="279">
        <f t="shared" si="13"/>
      </c>
      <c r="M19" s="279">
        <f t="shared" si="13"/>
      </c>
      <c r="N19" s="279">
        <f t="shared" si="13"/>
      </c>
      <c r="O19" s="279">
        <f t="shared" si="13"/>
      </c>
      <c r="P19" s="279">
        <f t="shared" si="13"/>
        <v>100</v>
      </c>
      <c r="Q19" s="279">
        <f t="shared" si="13"/>
      </c>
      <c r="R19" s="279">
        <f t="shared" si="13"/>
      </c>
      <c r="S19" s="212">
        <f t="shared" si="2"/>
        <v>100</v>
      </c>
      <c r="T19" s="424">
        <f t="shared" si="3"/>
        <v>0</v>
      </c>
      <c r="U19" s="282">
        <f t="shared" si="4"/>
        <v>175.323</v>
      </c>
      <c r="V19" s="283">
        <f>(($G19*86400)-U19)</f>
        <v>15.193999999999988</v>
      </c>
      <c r="W19" s="284">
        <f>IF(V19&lt;=0,10,IF(V19&lt;1,5,IF(V19&lt;2,0,IF(V19&lt;3,-5,-10))))</f>
        <v>-10</v>
      </c>
      <c r="X19" s="439">
        <f t="shared" si="7"/>
        <v>3</v>
      </c>
      <c r="Y19" s="196">
        <f t="shared" si="8"/>
        <v>5</v>
      </c>
      <c r="Z19" s="196">
        <f>IF($Y19="n/a","",_xlfn.IFERROR(COUNTIF($Y$2:$Y19,"="&amp;Y19),""))</f>
        <v>1</v>
      </c>
      <c r="AA19" s="196">
        <f>COUNTIF($X$2:X18,"&lt;"&amp;X19)</f>
        <v>0</v>
      </c>
      <c r="AB19" s="206">
        <f t="shared" si="9"/>
        <v>100</v>
      </c>
      <c r="AC19" s="212">
        <f t="shared" si="10"/>
        <v>90</v>
      </c>
    </row>
    <row r="20" spans="1:29" ht="12.75">
      <c r="A20" s="348">
        <v>60</v>
      </c>
      <c r="B20" s="496" t="s">
        <v>275</v>
      </c>
      <c r="C20" s="496" t="str">
        <f t="shared" si="12"/>
        <v>malcolm fotheringham</v>
      </c>
      <c r="D20" s="8" t="s">
        <v>215</v>
      </c>
      <c r="E20" s="8" t="s">
        <v>276</v>
      </c>
      <c r="F20" s="17" t="s">
        <v>324</v>
      </c>
      <c r="G20" s="497">
        <f t="shared" si="0"/>
        <v>0.002218773148148148</v>
      </c>
      <c r="H20" s="248">
        <f t="shared" si="13"/>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12">
        <f t="shared" si="2"/>
        <v>0</v>
      </c>
      <c r="T20" s="12">
        <f t="shared" si="3"/>
        <v>0</v>
      </c>
      <c r="U20" s="155">
        <f t="shared" si="4"/>
      </c>
      <c r="V20" s="209"/>
      <c r="W20" s="104"/>
      <c r="X20" s="439" t="str">
        <f t="shared" si="7"/>
        <v>n/a</v>
      </c>
      <c r="Y20" s="196" t="str">
        <f t="shared" si="8"/>
        <v>n/a</v>
      </c>
      <c r="Z20" s="196">
        <f>IF($Y20="n/a","",_xlfn.IFERROR(COUNTIF($Y$2:$Y20,"="&amp;Y20),""))</f>
      </c>
      <c r="AA20" s="196">
        <f>COUNTIF($X$2:X19,"&lt;"&amp;X20)</f>
        <v>0</v>
      </c>
      <c r="AB20" s="206">
        <f t="shared" si="9"/>
        <v>0</v>
      </c>
      <c r="AC20" s="212">
        <f t="shared" si="10"/>
        <v>0</v>
      </c>
    </row>
    <row r="21" spans="1:29" ht="12.75">
      <c r="A21" s="281">
        <v>32</v>
      </c>
      <c r="B21" s="545" t="s">
        <v>256</v>
      </c>
      <c r="C21" s="545" t="str">
        <f t="shared" si="12"/>
        <v>hung do</v>
      </c>
      <c r="D21" s="509" t="s">
        <v>4</v>
      </c>
      <c r="E21" s="424" t="s">
        <v>257</v>
      </c>
      <c r="F21" s="546" t="s">
        <v>344</v>
      </c>
      <c r="G21" s="547">
        <f t="shared" si="0"/>
        <v>0.002222164351851852</v>
      </c>
      <c r="H21" s="279">
        <f t="shared" si="13"/>
      </c>
      <c r="I21" s="279">
        <f t="shared" si="13"/>
      </c>
      <c r="J21" s="279">
        <f t="shared" si="13"/>
      </c>
      <c r="K21" s="279">
        <f t="shared" si="13"/>
      </c>
      <c r="L21" s="279">
        <f t="shared" si="13"/>
      </c>
      <c r="M21" s="279">
        <f t="shared" si="13"/>
      </c>
      <c r="N21" s="279">
        <f t="shared" si="13"/>
      </c>
      <c r="O21" s="279">
        <f t="shared" si="13"/>
      </c>
      <c r="P21" s="279">
        <f t="shared" si="13"/>
        <v>75</v>
      </c>
      <c r="Q21" s="279">
        <f t="shared" si="13"/>
      </c>
      <c r="R21" s="279">
        <f t="shared" si="13"/>
      </c>
      <c r="S21" s="212">
        <f t="shared" si="2"/>
        <v>75</v>
      </c>
      <c r="T21" s="424">
        <f t="shared" si="3"/>
        <v>0</v>
      </c>
      <c r="U21" s="282">
        <f t="shared" si="4"/>
        <v>175.323</v>
      </c>
      <c r="V21" s="283">
        <f>(($G21*86400)-U21)</f>
        <v>16.671999999999997</v>
      </c>
      <c r="W21" s="284">
        <f>IF(V21&lt;=0,10,IF(V21&lt;1,5,IF(V21&lt;2,0,IF(V21&lt;3,-5,-10))))</f>
        <v>-10</v>
      </c>
      <c r="X21" s="439">
        <f t="shared" si="7"/>
        <v>3</v>
      </c>
      <c r="Y21" s="196">
        <f t="shared" si="8"/>
        <v>5</v>
      </c>
      <c r="Z21" s="196">
        <f>IF($Y21="n/a","",_xlfn.IFERROR(COUNTIF($Y$2:$Y21,"="&amp;Y21),""))</f>
        <v>2</v>
      </c>
      <c r="AA21" s="196">
        <f>COUNTIF($X$2:X20,"&lt;"&amp;X21)</f>
        <v>0</v>
      </c>
      <c r="AB21" s="206">
        <f t="shared" si="9"/>
        <v>75</v>
      </c>
      <c r="AC21" s="212">
        <f t="shared" si="10"/>
        <v>65</v>
      </c>
    </row>
    <row r="22" spans="1:29" ht="12.75">
      <c r="A22" s="105">
        <v>141</v>
      </c>
      <c r="B22" s="548" t="s">
        <v>266</v>
      </c>
      <c r="C22" s="548" t="str">
        <f t="shared" si="12"/>
        <v>max lloyd</v>
      </c>
      <c r="D22" s="507" t="s">
        <v>21</v>
      </c>
      <c r="E22" s="36" t="s">
        <v>267</v>
      </c>
      <c r="F22" s="549" t="s">
        <v>332</v>
      </c>
      <c r="G22" s="550">
        <f t="shared" si="0"/>
        <v>0.00222337962962963</v>
      </c>
      <c r="H22" s="249">
        <f aca="true" t="shared" si="14" ref="H22:R31">IF($D22=H$1,$S22,"")</f>
      </c>
      <c r="I22" s="249">
        <f t="shared" si="14"/>
      </c>
      <c r="J22" s="249">
        <f t="shared" si="14"/>
      </c>
      <c r="K22" s="249">
        <f t="shared" si="14"/>
      </c>
      <c r="L22" s="249">
        <f t="shared" si="14"/>
      </c>
      <c r="M22" s="249">
        <f t="shared" si="14"/>
        <v>100</v>
      </c>
      <c r="N22" s="249">
        <f t="shared" si="14"/>
      </c>
      <c r="O22" s="249">
        <f t="shared" si="14"/>
      </c>
      <c r="P22" s="249">
        <f t="shared" si="14"/>
      </c>
      <c r="Q22" s="249">
        <f t="shared" si="14"/>
      </c>
      <c r="R22" s="249">
        <f t="shared" si="14"/>
      </c>
      <c r="S22" s="212">
        <f t="shared" si="2"/>
        <v>100</v>
      </c>
      <c r="T22" s="36">
        <f t="shared" si="3"/>
        <v>0</v>
      </c>
      <c r="U22" s="214">
        <f t="shared" si="4"/>
        <v>176.84099999999998</v>
      </c>
      <c r="V22" s="208">
        <f>(($G22*86400)-U22)</f>
        <v>15.259000000000043</v>
      </c>
      <c r="W22" s="106">
        <f>IF(V22&lt;=0,10,IF(V22&lt;1,5,IF(V22&lt;2,0,IF(V22&lt;3,-5,-10))))</f>
        <v>-10</v>
      </c>
      <c r="X22" s="439">
        <f t="shared" si="7"/>
        <v>2</v>
      </c>
      <c r="Y22" s="196">
        <f t="shared" si="8"/>
        <v>4</v>
      </c>
      <c r="Z22" s="196">
        <f>IF($Y22="n/a","",_xlfn.IFERROR(COUNTIF($Y$2:$Y22,"="&amp;Y22),""))</f>
        <v>1</v>
      </c>
      <c r="AA22" s="196">
        <f>COUNTIF($X$2:X21,"&lt;"&amp;X22)</f>
        <v>0</v>
      </c>
      <c r="AB22" s="206">
        <f t="shared" si="9"/>
        <v>100</v>
      </c>
      <c r="AC22" s="212">
        <f t="shared" si="10"/>
        <v>90</v>
      </c>
    </row>
    <row r="23" spans="1:29" ht="12.75">
      <c r="A23" s="105">
        <v>62</v>
      </c>
      <c r="B23" s="548" t="s">
        <v>258</v>
      </c>
      <c r="C23" s="548" t="str">
        <f t="shared" si="12"/>
        <v>noel heritage</v>
      </c>
      <c r="D23" s="507" t="s">
        <v>21</v>
      </c>
      <c r="E23" s="36" t="s">
        <v>259</v>
      </c>
      <c r="F23" s="549" t="s">
        <v>340</v>
      </c>
      <c r="G23" s="550">
        <f t="shared" si="0"/>
        <v>0.0022236805555555556</v>
      </c>
      <c r="H23" s="249">
        <f t="shared" si="14"/>
      </c>
      <c r="I23" s="249">
        <f t="shared" si="14"/>
      </c>
      <c r="J23" s="249">
        <f t="shared" si="14"/>
      </c>
      <c r="K23" s="249">
        <f t="shared" si="14"/>
      </c>
      <c r="L23" s="249">
        <f t="shared" si="14"/>
      </c>
      <c r="M23" s="249">
        <f t="shared" si="14"/>
        <v>75</v>
      </c>
      <c r="N23" s="249">
        <f t="shared" si="14"/>
      </c>
      <c r="O23" s="249">
        <f t="shared" si="14"/>
      </c>
      <c r="P23" s="249">
        <f t="shared" si="14"/>
      </c>
      <c r="Q23" s="249">
        <f t="shared" si="14"/>
      </c>
      <c r="R23" s="249">
        <f t="shared" si="14"/>
      </c>
      <c r="S23" s="212">
        <f t="shared" si="2"/>
        <v>75</v>
      </c>
      <c r="T23" s="36">
        <f t="shared" si="3"/>
        <v>0</v>
      </c>
      <c r="U23" s="214">
        <f t="shared" si="4"/>
        <v>176.84099999999998</v>
      </c>
      <c r="V23" s="208">
        <f>(($G23*86400)-U23)</f>
        <v>15.285000000000025</v>
      </c>
      <c r="W23" s="106">
        <f>IF(V23&lt;=0,10,IF(V23&lt;1,5,IF(V23&lt;2,0,IF(V23&lt;3,-5,-10))))</f>
        <v>-10</v>
      </c>
      <c r="X23" s="439">
        <f t="shared" si="7"/>
        <v>2</v>
      </c>
      <c r="Y23" s="196">
        <f t="shared" si="8"/>
        <v>4</v>
      </c>
      <c r="Z23" s="196">
        <f>IF($Y23="n/a","",_xlfn.IFERROR(COUNTIF($Y$2:$Y23,"="&amp;Y23),""))</f>
        <v>2</v>
      </c>
      <c r="AA23" s="196">
        <f>COUNTIF($X$2:X22,"&lt;"&amp;X23)</f>
        <v>0</v>
      </c>
      <c r="AB23" s="206">
        <f t="shared" si="9"/>
        <v>75</v>
      </c>
      <c r="AC23" s="212">
        <f t="shared" si="10"/>
        <v>65</v>
      </c>
    </row>
    <row r="24" spans="1:29" ht="12.75">
      <c r="A24" s="107">
        <v>82</v>
      </c>
      <c r="B24" s="551" t="s">
        <v>210</v>
      </c>
      <c r="C24" s="551" t="str">
        <f t="shared" si="12"/>
        <v>steve williamsz</v>
      </c>
      <c r="D24" s="510" t="s">
        <v>5</v>
      </c>
      <c r="E24" s="48" t="s">
        <v>260</v>
      </c>
      <c r="F24" s="552" t="s">
        <v>343</v>
      </c>
      <c r="G24" s="553">
        <f t="shared" si="0"/>
        <v>0.0022287962962962964</v>
      </c>
      <c r="H24" s="250">
        <f t="shared" si="14"/>
      </c>
      <c r="I24" s="250">
        <f t="shared" si="14"/>
      </c>
      <c r="J24" s="250">
        <f t="shared" si="14"/>
      </c>
      <c r="K24" s="250">
        <f t="shared" si="14"/>
      </c>
      <c r="L24" s="250">
        <f t="shared" si="14"/>
      </c>
      <c r="M24" s="250">
        <f t="shared" si="14"/>
      </c>
      <c r="N24" s="250">
        <f t="shared" si="14"/>
      </c>
      <c r="O24" s="250">
        <f t="shared" si="14"/>
      </c>
      <c r="P24" s="250">
        <f t="shared" si="14"/>
      </c>
      <c r="Q24" s="250">
        <f t="shared" si="14"/>
        <v>100</v>
      </c>
      <c r="R24" s="250">
        <f t="shared" si="14"/>
      </c>
      <c r="S24" s="212">
        <f t="shared" si="2"/>
        <v>100</v>
      </c>
      <c r="T24" s="48">
        <f aca="true" t="shared" si="15" ref="T24:T33">AB24-S24</f>
        <v>0</v>
      </c>
      <c r="U24" s="215">
        <f t="shared" si="4"/>
        <v>178.985</v>
      </c>
      <c r="V24" s="210">
        <f>(($G24*86400)-U24)</f>
        <v>13.582999999999998</v>
      </c>
      <c r="W24" s="108">
        <f>IF(V24&lt;=0,10,IF(V24&lt;1,5,IF(V24&lt;2,0,IF(V24&lt;3,-5,-10))))</f>
        <v>-10</v>
      </c>
      <c r="X24" s="439">
        <f t="shared" si="7"/>
        <v>1</v>
      </c>
      <c r="Y24" s="196">
        <f t="shared" si="8"/>
        <v>2</v>
      </c>
      <c r="Z24" s="196">
        <f>IF($Y24="n/a","",_xlfn.IFERROR(COUNTIF($Y$2:$Y24,"="&amp;Y24),""))</f>
        <v>1</v>
      </c>
      <c r="AA24" s="196">
        <f>COUNTIF($X$2:X23,"&lt;"&amp;X24)</f>
        <v>0</v>
      </c>
      <c r="AB24" s="206">
        <f t="shared" si="9"/>
        <v>100</v>
      </c>
      <c r="AC24" s="212">
        <f aca="true" t="shared" si="16" ref="AC24:AC33">(S24+T24+W24)</f>
        <v>90</v>
      </c>
    </row>
    <row r="25" spans="1:29" ht="12.75">
      <c r="A25" s="281">
        <v>2</v>
      </c>
      <c r="B25" s="545" t="s">
        <v>261</v>
      </c>
      <c r="C25" s="545" t="str">
        <f t="shared" si="12"/>
        <v>matt brogan</v>
      </c>
      <c r="D25" s="509" t="s">
        <v>4</v>
      </c>
      <c r="E25" s="424" t="s">
        <v>262</v>
      </c>
      <c r="F25" s="546" t="s">
        <v>342</v>
      </c>
      <c r="G25" s="547">
        <f t="shared" si="0"/>
        <v>0.002233773148148148</v>
      </c>
      <c r="H25" s="279">
        <f t="shared" si="14"/>
      </c>
      <c r="I25" s="279">
        <f t="shared" si="14"/>
      </c>
      <c r="J25" s="279">
        <f t="shared" si="14"/>
      </c>
      <c r="K25" s="279">
        <f t="shared" si="14"/>
      </c>
      <c r="L25" s="279">
        <f t="shared" si="14"/>
      </c>
      <c r="M25" s="279">
        <f t="shared" si="14"/>
      </c>
      <c r="N25" s="279">
        <f t="shared" si="14"/>
      </c>
      <c r="O25" s="279">
        <f t="shared" si="14"/>
      </c>
      <c r="P25" s="279">
        <f t="shared" si="14"/>
        <v>60</v>
      </c>
      <c r="Q25" s="279">
        <f t="shared" si="14"/>
      </c>
      <c r="R25" s="279">
        <f t="shared" si="14"/>
      </c>
      <c r="S25" s="212">
        <f t="shared" si="2"/>
        <v>60</v>
      </c>
      <c r="T25" s="424">
        <f t="shared" si="15"/>
        <v>-45</v>
      </c>
      <c r="U25" s="282">
        <f t="shared" si="4"/>
        <v>175.323</v>
      </c>
      <c r="V25" s="283">
        <f>(($G25*86400)-U25)</f>
        <v>17.674999999999983</v>
      </c>
      <c r="W25" s="284">
        <f>IF(V25&lt;=0,10,IF(V25&lt;1,5,IF(V25&lt;2,0,IF(V25&lt;3,-5,-10))))</f>
        <v>-10</v>
      </c>
      <c r="X25" s="439">
        <f t="shared" si="7"/>
        <v>3</v>
      </c>
      <c r="Y25" s="196">
        <f t="shared" si="8"/>
        <v>5</v>
      </c>
      <c r="Z25" s="196">
        <f>IF($Y25="n/a","",_xlfn.IFERROR(COUNTIF($Y$2:$Y25,"="&amp;Y25),""))</f>
        <v>3</v>
      </c>
      <c r="AA25" s="196">
        <f>COUNTIF($X$2:X24,"&lt;"&amp;X25)</f>
        <v>3</v>
      </c>
      <c r="AB25" s="206">
        <f t="shared" si="9"/>
        <v>15</v>
      </c>
      <c r="AC25" s="212">
        <f t="shared" si="16"/>
        <v>5</v>
      </c>
    </row>
    <row r="26" spans="1:29" ht="12.75">
      <c r="A26" s="348">
        <v>25</v>
      </c>
      <c r="B26" s="496" t="s">
        <v>268</v>
      </c>
      <c r="C26" s="496" t="str">
        <f t="shared" si="12"/>
        <v>deen hameed</v>
      </c>
      <c r="D26" s="8" t="s">
        <v>215</v>
      </c>
      <c r="E26" s="8" t="s">
        <v>269</v>
      </c>
      <c r="F26" s="17" t="s">
        <v>341</v>
      </c>
      <c r="G26" s="497">
        <f t="shared" si="0"/>
        <v>0.0022384722222222224</v>
      </c>
      <c r="H26" s="248">
        <f t="shared" si="14"/>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12">
        <f t="shared" si="2"/>
        <v>0</v>
      </c>
      <c r="T26" s="12">
        <f t="shared" si="15"/>
        <v>0</v>
      </c>
      <c r="U26" s="155">
        <f t="shared" si="4"/>
      </c>
      <c r="V26" s="209"/>
      <c r="W26" s="104"/>
      <c r="X26" s="439" t="str">
        <f t="shared" si="7"/>
        <v>n/a</v>
      </c>
      <c r="Y26" s="196" t="str">
        <f t="shared" si="8"/>
        <v>n/a</v>
      </c>
      <c r="Z26" s="196">
        <f>IF($Y26="n/a","",_xlfn.IFERROR(COUNTIF($Y$2:$Y26,"="&amp;Y26),""))</f>
      </c>
      <c r="AA26" s="196">
        <f>COUNTIF($X$2:X25,"&lt;"&amp;X26)</f>
        <v>0</v>
      </c>
      <c r="AB26" s="206">
        <f t="shared" si="9"/>
        <v>0</v>
      </c>
      <c r="AC26" s="212">
        <f t="shared" si="16"/>
        <v>0</v>
      </c>
    </row>
    <row r="27" spans="1:29" ht="12.75">
      <c r="A27" s="348">
        <v>953</v>
      </c>
      <c r="B27" s="496" t="s">
        <v>280</v>
      </c>
      <c r="C27" s="496" t="str">
        <f t="shared" si="12"/>
        <v>jamie martin</v>
      </c>
      <c r="D27" s="8" t="s">
        <v>215</v>
      </c>
      <c r="E27" s="8" t="s">
        <v>281</v>
      </c>
      <c r="F27" s="17" t="s">
        <v>328</v>
      </c>
      <c r="G27" s="497">
        <f t="shared" si="0"/>
        <v>0.0022405324074074072</v>
      </c>
      <c r="H27" s="248">
        <f t="shared" si="14"/>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12">
        <f t="shared" si="2"/>
        <v>0</v>
      </c>
      <c r="T27" s="12">
        <f t="shared" si="15"/>
        <v>0</v>
      </c>
      <c r="U27" s="155">
        <f t="shared" si="4"/>
      </c>
      <c r="V27" s="209"/>
      <c r="W27" s="104"/>
      <c r="X27" s="439" t="str">
        <f t="shared" si="7"/>
        <v>n/a</v>
      </c>
      <c r="Y27" s="196" t="str">
        <f t="shared" si="8"/>
        <v>n/a</v>
      </c>
      <c r="Z27" s="196">
        <f>IF($Y27="n/a","",_xlfn.IFERROR(COUNTIF($Y$2:$Y27,"="&amp;Y27),""))</f>
      </c>
      <c r="AA27" s="196">
        <f>COUNTIF($X$2:X26,"&lt;"&amp;X27)</f>
        <v>0</v>
      </c>
      <c r="AB27" s="206">
        <f t="shared" si="9"/>
        <v>0</v>
      </c>
      <c r="AC27" s="212">
        <f t="shared" si="16"/>
        <v>0</v>
      </c>
    </row>
    <row r="28" spans="1:29" ht="12.75">
      <c r="A28" s="348">
        <v>29</v>
      </c>
      <c r="B28" s="496" t="s">
        <v>273</v>
      </c>
      <c r="C28" s="496" t="str">
        <f t="shared" si="12"/>
        <v>andrew tate</v>
      </c>
      <c r="D28" s="8" t="s">
        <v>217</v>
      </c>
      <c r="E28" s="8" t="s">
        <v>274</v>
      </c>
      <c r="F28" s="17" t="s">
        <v>335</v>
      </c>
      <c r="G28" s="497">
        <f t="shared" si="0"/>
        <v>0.0022409722222222223</v>
      </c>
      <c r="H28" s="248">
        <f t="shared" si="14"/>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12">
        <f t="shared" si="2"/>
        <v>0</v>
      </c>
      <c r="T28" s="12">
        <f t="shared" si="15"/>
        <v>0</v>
      </c>
      <c r="U28" s="155">
        <f t="shared" si="4"/>
      </c>
      <c r="V28" s="209"/>
      <c r="W28" s="104"/>
      <c r="X28" s="439" t="str">
        <f t="shared" si="7"/>
        <v>n/a</v>
      </c>
      <c r="Y28" s="196" t="str">
        <f t="shared" si="8"/>
        <v>n/a</v>
      </c>
      <c r="Z28" s="196">
        <f>IF($Y28="n/a","",_xlfn.IFERROR(COUNTIF($Y$2:$Y28,"="&amp;Y28),""))</f>
      </c>
      <c r="AA28" s="196">
        <f>COUNTIF($X$2:X27,"&lt;"&amp;X28)</f>
        <v>0</v>
      </c>
      <c r="AB28" s="206">
        <f t="shared" si="9"/>
        <v>0</v>
      </c>
      <c r="AC28" s="212">
        <f t="shared" si="16"/>
        <v>0</v>
      </c>
    </row>
    <row r="29" spans="1:29" ht="12.75">
      <c r="A29" s="348">
        <v>87</v>
      </c>
      <c r="B29" s="496" t="s">
        <v>222</v>
      </c>
      <c r="C29" s="496" t="str">
        <f t="shared" si="12"/>
        <v>david lawler</v>
      </c>
      <c r="D29" s="8" t="s">
        <v>215</v>
      </c>
      <c r="E29" s="8" t="s">
        <v>223</v>
      </c>
      <c r="F29" s="17" t="s">
        <v>357</v>
      </c>
      <c r="G29" s="497">
        <f t="shared" si="0"/>
        <v>0.0022542824074074075</v>
      </c>
      <c r="H29" s="248">
        <f t="shared" si="14"/>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12">
        <f t="shared" si="2"/>
        <v>0</v>
      </c>
      <c r="T29" s="12">
        <f t="shared" si="15"/>
        <v>0</v>
      </c>
      <c r="U29" s="155">
        <f t="shared" si="4"/>
      </c>
      <c r="V29" s="209"/>
      <c r="W29" s="104"/>
      <c r="X29" s="439" t="str">
        <f t="shared" si="7"/>
        <v>n/a</v>
      </c>
      <c r="Y29" s="196" t="str">
        <f t="shared" si="8"/>
        <v>n/a</v>
      </c>
      <c r="Z29" s="196">
        <f>IF($Y29="n/a","",_xlfn.IFERROR(COUNTIF($Y$2:$Y29,"="&amp;Y29),""))</f>
      </c>
      <c r="AA29" s="196">
        <f>COUNTIF($X$2:X28,"&lt;"&amp;X29)</f>
        <v>0</v>
      </c>
      <c r="AB29" s="206">
        <f t="shared" si="9"/>
        <v>0</v>
      </c>
      <c r="AC29" s="212">
        <f t="shared" si="16"/>
        <v>0</v>
      </c>
    </row>
    <row r="30" spans="1:29" ht="12.75">
      <c r="A30" s="348">
        <v>73</v>
      </c>
      <c r="B30" s="496" t="s">
        <v>209</v>
      </c>
      <c r="C30" s="496" t="str">
        <f t="shared" si="12"/>
        <v>jarrah pitt</v>
      </c>
      <c r="D30" s="8" t="s">
        <v>217</v>
      </c>
      <c r="E30" s="8" t="s">
        <v>278</v>
      </c>
      <c r="F30" s="17" t="s">
        <v>339</v>
      </c>
      <c r="G30" s="497">
        <f t="shared" si="0"/>
        <v>0.0022582407407407403</v>
      </c>
      <c r="H30" s="248">
        <f t="shared" si="14"/>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12">
        <f t="shared" si="2"/>
        <v>0</v>
      </c>
      <c r="T30" s="12">
        <f t="shared" si="15"/>
        <v>0</v>
      </c>
      <c r="U30" s="155">
        <f t="shared" si="4"/>
      </c>
      <c r="V30" s="209"/>
      <c r="W30" s="104"/>
      <c r="X30" s="439" t="str">
        <f t="shared" si="7"/>
        <v>n/a</v>
      </c>
      <c r="Y30" s="196" t="str">
        <f t="shared" si="8"/>
        <v>n/a</v>
      </c>
      <c r="Z30" s="196">
        <f>IF($Y30="n/a","",_xlfn.IFERROR(COUNTIF($Y$2:$Y30,"="&amp;Y30),""))</f>
      </c>
      <c r="AA30" s="196">
        <f>COUNTIF($X$2:X29,"&lt;"&amp;X30)</f>
        <v>0</v>
      </c>
      <c r="AB30" s="206">
        <f t="shared" si="9"/>
        <v>0</v>
      </c>
      <c r="AC30" s="212">
        <f t="shared" si="16"/>
        <v>0</v>
      </c>
    </row>
    <row r="31" spans="1:29" ht="12.75">
      <c r="A31" s="348">
        <v>187</v>
      </c>
      <c r="B31" s="496" t="s">
        <v>282</v>
      </c>
      <c r="C31" s="496" t="str">
        <f t="shared" si="12"/>
        <v>michael demaio</v>
      </c>
      <c r="D31" s="8" t="s">
        <v>215</v>
      </c>
      <c r="E31" s="8" t="s">
        <v>283</v>
      </c>
      <c r="F31" s="17" t="s">
        <v>337</v>
      </c>
      <c r="G31" s="497">
        <f t="shared" si="0"/>
        <v>0.0022683101851851853</v>
      </c>
      <c r="H31" s="248">
        <f t="shared" si="14"/>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12">
        <f t="shared" si="2"/>
        <v>0</v>
      </c>
      <c r="T31" s="12">
        <f t="shared" si="15"/>
        <v>0</v>
      </c>
      <c r="U31" s="155">
        <f t="shared" si="4"/>
      </c>
      <c r="V31" s="209"/>
      <c r="W31" s="104"/>
      <c r="X31" s="439" t="str">
        <f t="shared" si="7"/>
        <v>n/a</v>
      </c>
      <c r="Y31" s="196" t="str">
        <f t="shared" si="8"/>
        <v>n/a</v>
      </c>
      <c r="Z31" s="196">
        <f>IF($Y31="n/a","",_xlfn.IFERROR(COUNTIF($Y$2:$Y31,"="&amp;Y31),""))</f>
      </c>
      <c r="AA31" s="196">
        <f>COUNTIF($X$2:X30,"&lt;"&amp;X31)</f>
        <v>0</v>
      </c>
      <c r="AB31" s="206">
        <f t="shared" si="9"/>
        <v>0</v>
      </c>
      <c r="AC31" s="212">
        <f t="shared" si="16"/>
        <v>0</v>
      </c>
    </row>
    <row r="32" spans="1:29" ht="12.75">
      <c r="A32" s="348">
        <v>58</v>
      </c>
      <c r="B32" s="496" t="s">
        <v>270</v>
      </c>
      <c r="C32" s="496" t="str">
        <f t="shared" si="12"/>
        <v>murray seymour</v>
      </c>
      <c r="D32" s="8" t="s">
        <v>217</v>
      </c>
      <c r="E32" s="8" t="s">
        <v>271</v>
      </c>
      <c r="F32" s="17" t="s">
        <v>348</v>
      </c>
      <c r="G32" s="497">
        <f t="shared" si="0"/>
        <v>0.002283229166666667</v>
      </c>
      <c r="H32" s="248">
        <f aca="true" t="shared" si="17" ref="H32:R41">IF($D32=H$1,$S32,"")</f>
      </c>
      <c r="I32" s="248">
        <f t="shared" si="17"/>
      </c>
      <c r="J32" s="248">
        <f t="shared" si="17"/>
      </c>
      <c r="K32" s="248">
        <f t="shared" si="17"/>
      </c>
      <c r="L32" s="248">
        <f t="shared" si="17"/>
      </c>
      <c r="M32" s="248">
        <f t="shared" si="17"/>
      </c>
      <c r="N32" s="248">
        <f t="shared" si="17"/>
      </c>
      <c r="O32" s="248">
        <f t="shared" si="17"/>
      </c>
      <c r="P32" s="248">
        <f t="shared" si="17"/>
      </c>
      <c r="Q32" s="248">
        <f t="shared" si="17"/>
      </c>
      <c r="R32" s="248">
        <f t="shared" si="17"/>
      </c>
      <c r="S32" s="212">
        <f t="shared" si="2"/>
        <v>0</v>
      </c>
      <c r="T32" s="12">
        <f t="shared" si="15"/>
        <v>0</v>
      </c>
      <c r="U32" s="155">
        <f t="shared" si="4"/>
      </c>
      <c r="V32" s="209"/>
      <c r="W32" s="104"/>
      <c r="X32" s="439" t="str">
        <f t="shared" si="7"/>
        <v>n/a</v>
      </c>
      <c r="Y32" s="196" t="str">
        <f t="shared" si="8"/>
        <v>n/a</v>
      </c>
      <c r="Z32" s="196">
        <f>IF($Y32="n/a","",_xlfn.IFERROR(COUNTIF($Y$2:$Y32,"="&amp;Y32),""))</f>
      </c>
      <c r="AA32" s="196">
        <f>COUNTIF($X$2:X31,"&lt;"&amp;X32)</f>
        <v>0</v>
      </c>
      <c r="AB32" s="206">
        <f t="shared" si="9"/>
        <v>0</v>
      </c>
      <c r="AC32" s="212">
        <f t="shared" si="16"/>
        <v>0</v>
      </c>
    </row>
    <row r="33" spans="1:29" ht="12.75">
      <c r="A33" s="348">
        <v>81</v>
      </c>
      <c r="B33" s="496" t="s">
        <v>254</v>
      </c>
      <c r="C33" s="496" t="str">
        <f t="shared" si="12"/>
        <v>paul nudd</v>
      </c>
      <c r="D33" s="8" t="s">
        <v>215</v>
      </c>
      <c r="E33" s="8" t="s">
        <v>255</v>
      </c>
      <c r="F33" s="17" t="s">
        <v>351</v>
      </c>
      <c r="G33" s="497">
        <f t="shared" si="0"/>
        <v>0.0022861921296296298</v>
      </c>
      <c r="H33" s="248">
        <f t="shared" si="17"/>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12">
        <f t="shared" si="2"/>
        <v>0</v>
      </c>
      <c r="T33" s="12">
        <f t="shared" si="15"/>
        <v>0</v>
      </c>
      <c r="U33" s="155">
        <f t="shared" si="4"/>
      </c>
      <c r="V33" s="209"/>
      <c r="W33" s="104"/>
      <c r="X33" s="439" t="str">
        <f t="shared" si="7"/>
        <v>n/a</v>
      </c>
      <c r="Y33" s="196" t="str">
        <f t="shared" si="8"/>
        <v>n/a</v>
      </c>
      <c r="Z33" s="196">
        <f>IF($Y33="n/a","",_xlfn.IFERROR(COUNTIF($Y$2:$Y33,"="&amp;Y33),""))</f>
      </c>
      <c r="AA33" s="196">
        <f>COUNTIF($X$2:X32,"&lt;"&amp;X33)</f>
        <v>0</v>
      </c>
      <c r="AB33" s="206">
        <f t="shared" si="9"/>
        <v>0</v>
      </c>
      <c r="AC33" s="212">
        <f t="shared" si="16"/>
        <v>0</v>
      </c>
    </row>
    <row r="34" spans="1:29" ht="12.75">
      <c r="A34" s="107">
        <v>241</v>
      </c>
      <c r="B34" s="551" t="s">
        <v>288</v>
      </c>
      <c r="C34" s="551" t="str">
        <f t="shared" si="12"/>
        <v>john downes</v>
      </c>
      <c r="D34" s="510" t="s">
        <v>5</v>
      </c>
      <c r="E34" s="48" t="s">
        <v>289</v>
      </c>
      <c r="F34" s="552" t="s">
        <v>346</v>
      </c>
      <c r="G34" s="553">
        <f aca="true" t="shared" si="18" ref="G34:G56">E34+F34</f>
        <v>0.0023055092592592593</v>
      </c>
      <c r="H34" s="250">
        <f t="shared" si="17"/>
      </c>
      <c r="I34" s="250">
        <f t="shared" si="17"/>
      </c>
      <c r="J34" s="250">
        <f t="shared" si="17"/>
      </c>
      <c r="K34" s="250">
        <f t="shared" si="17"/>
      </c>
      <c r="L34" s="250">
        <f t="shared" si="17"/>
      </c>
      <c r="M34" s="250">
        <f t="shared" si="17"/>
      </c>
      <c r="N34" s="250">
        <f t="shared" si="17"/>
      </c>
      <c r="O34" s="250">
        <f t="shared" si="17"/>
      </c>
      <c r="P34" s="250">
        <f t="shared" si="17"/>
      </c>
      <c r="Q34" s="250">
        <f t="shared" si="17"/>
        <v>75</v>
      </c>
      <c r="R34" s="250">
        <f t="shared" si="17"/>
      </c>
      <c r="S34" s="212">
        <f aca="true" t="shared" si="19" ref="S34:S56">_xlfn.IFERROR(VLOOKUP($Z34,Points2018,2,0),0)</f>
        <v>75</v>
      </c>
      <c r="T34" s="48">
        <f>AB34-S34</f>
        <v>0</v>
      </c>
      <c r="U34" s="215">
        <f aca="true" t="shared" si="20" ref="U34:U56">_xlfn.IFERROR(VLOOKUP(D34,BenchmarksRd3,4,0)*86400,"")</f>
        <v>178.985</v>
      </c>
      <c r="V34" s="210">
        <f>(($G34*86400)-U34)</f>
        <v>20.210999999999984</v>
      </c>
      <c r="W34" s="108">
        <f>IF(V34&lt;=0,10,IF(V34&lt;1,5,IF(V34&lt;2,0,IF(V34&lt;3,-5,-10))))</f>
        <v>-10</v>
      </c>
      <c r="X34" s="439">
        <f aca="true" t="shared" si="21" ref="X34:X56">_xlfn.IFERROR(VLOOKUP(D34,Class2018,4,0),"n/a")</f>
        <v>1</v>
      </c>
      <c r="Y34" s="196">
        <f aca="true" t="shared" si="22" ref="Y34:Y56">_xlfn.IFERROR(VLOOKUP(D34,Class2018,3,0),"n/a")</f>
        <v>2</v>
      </c>
      <c r="Z34" s="196">
        <f>IF($Y34="n/a","",_xlfn.IFERROR(COUNTIF($Y$2:$Y34,"="&amp;Y34),""))</f>
        <v>2</v>
      </c>
      <c r="AA34" s="196">
        <f>COUNTIF($X$2:X3,"&lt;"&amp;X34)</f>
        <v>0</v>
      </c>
      <c r="AB34" s="206">
        <f aca="true" t="shared" si="23" ref="AB34:AB56">IF($Y34="n/a",0,_xlfn.IFERROR(VLOOKUP(Z34+AA34,Points2018,2,0),15))</f>
        <v>75</v>
      </c>
      <c r="AC34" s="212">
        <f>(S34+T34+W34)</f>
        <v>65</v>
      </c>
    </row>
    <row r="35" spans="1:29" ht="12.75">
      <c r="A35" s="348">
        <v>741</v>
      </c>
      <c r="B35" s="496" t="s">
        <v>284</v>
      </c>
      <c r="C35" s="496" t="str">
        <f t="shared" si="12"/>
        <v>peter feutrill</v>
      </c>
      <c r="D35" s="8" t="s">
        <v>215</v>
      </c>
      <c r="E35" s="8" t="s">
        <v>285</v>
      </c>
      <c r="F35" s="17" t="s">
        <v>347</v>
      </c>
      <c r="G35" s="497">
        <f t="shared" si="18"/>
        <v>0.002312337962962963</v>
      </c>
      <c r="H35" s="248">
        <f t="shared" si="17"/>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12">
        <f t="shared" si="19"/>
        <v>0</v>
      </c>
      <c r="T35" s="12">
        <f>AB35-S35</f>
        <v>0</v>
      </c>
      <c r="U35" s="155">
        <f t="shared" si="20"/>
      </c>
      <c r="V35" s="209"/>
      <c r="W35" s="104"/>
      <c r="X35" s="439" t="str">
        <f t="shared" si="21"/>
        <v>n/a</v>
      </c>
      <c r="Y35" s="196" t="str">
        <f t="shared" si="22"/>
        <v>n/a</v>
      </c>
      <c r="Z35" s="196">
        <f>IF($Y35="n/a","",_xlfn.IFERROR(COUNTIF($Y$2:$Y35,"="&amp;Y35),""))</f>
      </c>
      <c r="AA35" s="196">
        <f>COUNTIF($X$2:X34,"&lt;"&amp;X35)</f>
        <v>0</v>
      </c>
      <c r="AB35" s="206">
        <f t="shared" si="23"/>
        <v>0</v>
      </c>
      <c r="AC35" s="212">
        <f>(S35+T35+W35)</f>
        <v>0</v>
      </c>
    </row>
    <row r="36" spans="1:29" ht="12.75">
      <c r="A36" s="348">
        <v>184</v>
      </c>
      <c r="B36" s="496" t="s">
        <v>294</v>
      </c>
      <c r="C36" s="496" t="str">
        <f t="shared" si="12"/>
        <v>graham fletcher</v>
      </c>
      <c r="D36" s="8" t="s">
        <v>215</v>
      </c>
      <c r="E36" s="8" t="s">
        <v>295</v>
      </c>
      <c r="F36" s="17" t="s">
        <v>345</v>
      </c>
      <c r="G36" s="497">
        <f t="shared" si="18"/>
        <v>0.002314270833333333</v>
      </c>
      <c r="H36" s="248">
        <f t="shared" si="17"/>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12">
        <f t="shared" si="19"/>
        <v>0</v>
      </c>
      <c r="T36" s="12">
        <f>AB36-S36</f>
        <v>0</v>
      </c>
      <c r="U36" s="155">
        <f t="shared" si="20"/>
      </c>
      <c r="V36" s="209"/>
      <c r="W36" s="104"/>
      <c r="X36" s="439" t="str">
        <f t="shared" si="21"/>
        <v>n/a</v>
      </c>
      <c r="Y36" s="196" t="str">
        <f t="shared" si="22"/>
        <v>n/a</v>
      </c>
      <c r="Z36" s="196">
        <f>IF($Y36="n/a","",_xlfn.IFERROR(COUNTIF($Y$2:$Y36,"="&amp;Y36),""))</f>
      </c>
      <c r="AA36" s="196">
        <f>COUNTIF($X$2:X35,"&lt;"&amp;X36)</f>
        <v>0</v>
      </c>
      <c r="AB36" s="206">
        <f t="shared" si="23"/>
        <v>0</v>
      </c>
      <c r="AC36" s="212">
        <f>(S36+T36+W36)</f>
        <v>0</v>
      </c>
    </row>
    <row r="37" spans="1:29" ht="12.75">
      <c r="A37" s="348">
        <v>242</v>
      </c>
      <c r="B37" s="496" t="s">
        <v>207</v>
      </c>
      <c r="C37" s="496" t="str">
        <f t="shared" si="12"/>
        <v>leon bogers</v>
      </c>
      <c r="D37" s="8" t="s">
        <v>217</v>
      </c>
      <c r="E37" s="8" t="s">
        <v>272</v>
      </c>
      <c r="F37" s="17" t="s">
        <v>352</v>
      </c>
      <c r="G37" s="497">
        <f t="shared" si="18"/>
        <v>0.0023274189814814815</v>
      </c>
      <c r="H37" s="248">
        <f t="shared" si="17"/>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12">
        <f t="shared" si="19"/>
        <v>0</v>
      </c>
      <c r="T37" s="12">
        <f aca="true" t="shared" si="24" ref="T37:T50">AB37-S37</f>
        <v>0</v>
      </c>
      <c r="U37" s="155">
        <f t="shared" si="20"/>
      </c>
      <c r="V37" s="209"/>
      <c r="W37" s="104"/>
      <c r="X37" s="439" t="str">
        <f t="shared" si="21"/>
        <v>n/a</v>
      </c>
      <c r="Y37" s="196" t="str">
        <f t="shared" si="22"/>
        <v>n/a</v>
      </c>
      <c r="Z37" s="196">
        <f>IF($Y37="n/a","",_xlfn.IFERROR(COUNTIF($Y$2:$Y37,"="&amp;Y37),""))</f>
      </c>
      <c r="AA37" s="196">
        <f>COUNTIF($X$2:X22,"&lt;"&amp;X37)</f>
        <v>0</v>
      </c>
      <c r="AB37" s="206">
        <f t="shared" si="23"/>
        <v>0</v>
      </c>
      <c r="AC37" s="212">
        <f aca="true" t="shared" si="25" ref="AC37:AC50">(S37+T37+W37)</f>
        <v>0</v>
      </c>
    </row>
    <row r="38" spans="1:29" ht="12.75">
      <c r="A38" s="348">
        <v>28</v>
      </c>
      <c r="B38" s="496" t="s">
        <v>286</v>
      </c>
      <c r="C38" s="496" t="str">
        <f t="shared" si="12"/>
        <v>allan gibson</v>
      </c>
      <c r="D38" s="8" t="s">
        <v>215</v>
      </c>
      <c r="E38" s="8" t="s">
        <v>287</v>
      </c>
      <c r="F38" s="17" t="s">
        <v>350</v>
      </c>
      <c r="G38" s="497">
        <f t="shared" si="18"/>
        <v>0.0023342824074074073</v>
      </c>
      <c r="H38" s="248">
        <f t="shared" si="17"/>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12">
        <f t="shared" si="19"/>
        <v>0</v>
      </c>
      <c r="T38" s="12">
        <f t="shared" si="24"/>
        <v>0</v>
      </c>
      <c r="U38" s="155">
        <f t="shared" si="20"/>
      </c>
      <c r="V38" s="209"/>
      <c r="W38" s="104"/>
      <c r="X38" s="439" t="str">
        <f t="shared" si="21"/>
        <v>n/a</v>
      </c>
      <c r="Y38" s="196" t="str">
        <f t="shared" si="22"/>
        <v>n/a</v>
      </c>
      <c r="Z38" s="196">
        <f>IF($Y38="n/a","",_xlfn.IFERROR(COUNTIF($Y$2:$Y38,"="&amp;Y38),""))</f>
      </c>
      <c r="AA38" s="196">
        <f>COUNTIF($X$2:X37,"&lt;"&amp;X38)</f>
        <v>0</v>
      </c>
      <c r="AB38" s="206">
        <f t="shared" si="23"/>
        <v>0</v>
      </c>
      <c r="AC38" s="212">
        <f t="shared" si="25"/>
        <v>0</v>
      </c>
    </row>
    <row r="39" spans="1:29" ht="12.75">
      <c r="A39" s="348">
        <v>146</v>
      </c>
      <c r="B39" s="496" t="s">
        <v>264</v>
      </c>
      <c r="C39" s="496" t="str">
        <f t="shared" si="12"/>
        <v>brock watchorn</v>
      </c>
      <c r="D39" s="8" t="s">
        <v>217</v>
      </c>
      <c r="E39" s="8" t="s">
        <v>265</v>
      </c>
      <c r="F39" s="17" t="s">
        <v>355</v>
      </c>
      <c r="G39" s="497">
        <f t="shared" si="18"/>
        <v>0.002336122685185185</v>
      </c>
      <c r="H39" s="248">
        <f t="shared" si="17"/>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12">
        <f t="shared" si="19"/>
        <v>0</v>
      </c>
      <c r="T39" s="12">
        <f t="shared" si="24"/>
        <v>0</v>
      </c>
      <c r="U39" s="155">
        <f t="shared" si="20"/>
      </c>
      <c r="V39" s="209"/>
      <c r="W39" s="104"/>
      <c r="X39" s="439" t="str">
        <f t="shared" si="21"/>
        <v>n/a</v>
      </c>
      <c r="Y39" s="196" t="str">
        <f t="shared" si="22"/>
        <v>n/a</v>
      </c>
      <c r="Z39" s="196">
        <f>IF($Y39="n/a","",_xlfn.IFERROR(COUNTIF($Y$2:$Y39,"="&amp;Y39),""))</f>
      </c>
      <c r="AA39" s="196">
        <f>COUNTIF($X$2:X38,"&lt;"&amp;X39)</f>
        <v>0</v>
      </c>
      <c r="AB39" s="206">
        <f t="shared" si="23"/>
        <v>0</v>
      </c>
      <c r="AC39" s="212">
        <f t="shared" si="25"/>
        <v>0</v>
      </c>
    </row>
    <row r="40" spans="1:29" ht="12.75">
      <c r="A40" s="348">
        <v>171</v>
      </c>
      <c r="B40" s="496" t="s">
        <v>250</v>
      </c>
      <c r="C40" s="496" t="str">
        <f t="shared" si="12"/>
        <v>ian combes</v>
      </c>
      <c r="D40" s="8" t="s">
        <v>215</v>
      </c>
      <c r="E40" s="8" t="s">
        <v>251</v>
      </c>
      <c r="F40" s="17" t="s">
        <v>359</v>
      </c>
      <c r="G40" s="497">
        <f t="shared" si="18"/>
        <v>0.002359074074074074</v>
      </c>
      <c r="H40" s="248">
        <f t="shared" si="17"/>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12">
        <f t="shared" si="19"/>
        <v>0</v>
      </c>
      <c r="T40" s="12">
        <f t="shared" si="24"/>
        <v>0</v>
      </c>
      <c r="U40" s="155">
        <f t="shared" si="20"/>
      </c>
      <c r="V40" s="209"/>
      <c r="W40" s="104"/>
      <c r="X40" s="439" t="str">
        <f t="shared" si="21"/>
        <v>n/a</v>
      </c>
      <c r="Y40" s="196" t="str">
        <f t="shared" si="22"/>
        <v>n/a</v>
      </c>
      <c r="Z40" s="196">
        <f>IF($Y40="n/a","",_xlfn.IFERROR(COUNTIF($Y$2:$Y40,"="&amp;Y40),""))</f>
      </c>
      <c r="AA40" s="196">
        <f>COUNTIF($X$2:X39,"&lt;"&amp;X40)</f>
        <v>0</v>
      </c>
      <c r="AB40" s="206">
        <f t="shared" si="23"/>
        <v>0</v>
      </c>
      <c r="AC40" s="212">
        <f t="shared" si="25"/>
        <v>0</v>
      </c>
    </row>
    <row r="41" spans="1:29" ht="12.75">
      <c r="A41" s="348">
        <v>76</v>
      </c>
      <c r="B41" s="496" t="s">
        <v>226</v>
      </c>
      <c r="C41" s="496" t="str">
        <f t="shared" si="12"/>
        <v>ralph thompson</v>
      </c>
      <c r="D41" s="8" t="s">
        <v>215</v>
      </c>
      <c r="E41" s="8" t="s">
        <v>227</v>
      </c>
      <c r="F41" s="17" t="s">
        <v>362</v>
      </c>
      <c r="G41" s="497">
        <f t="shared" si="18"/>
        <v>0.0023717708333333334</v>
      </c>
      <c r="H41" s="248">
        <f t="shared" si="17"/>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12">
        <f t="shared" si="19"/>
        <v>0</v>
      </c>
      <c r="T41" s="12">
        <f t="shared" si="24"/>
        <v>0</v>
      </c>
      <c r="U41" s="155">
        <f t="shared" si="20"/>
      </c>
      <c r="V41" s="209"/>
      <c r="W41" s="104"/>
      <c r="X41" s="439" t="str">
        <f t="shared" si="21"/>
        <v>n/a</v>
      </c>
      <c r="Y41" s="196" t="str">
        <f t="shared" si="22"/>
        <v>n/a</v>
      </c>
      <c r="Z41" s="196">
        <f>IF($Y41="n/a","",_xlfn.IFERROR(COUNTIF($Y$2:$Y41,"="&amp;Y41),""))</f>
      </c>
      <c r="AA41" s="196">
        <f>COUNTIF($X$2:X40,"&lt;"&amp;X41)</f>
        <v>0</v>
      </c>
      <c r="AB41" s="206">
        <f t="shared" si="23"/>
        <v>0</v>
      </c>
      <c r="AC41" s="212">
        <f t="shared" si="25"/>
        <v>0</v>
      </c>
    </row>
    <row r="42" spans="1:29" ht="12.75">
      <c r="A42" s="348">
        <v>35</v>
      </c>
      <c r="B42" s="496" t="s">
        <v>302</v>
      </c>
      <c r="C42" s="496" t="str">
        <f t="shared" si="12"/>
        <v>keith monaghan</v>
      </c>
      <c r="D42" s="8" t="s">
        <v>215</v>
      </c>
      <c r="E42" s="8" t="s">
        <v>303</v>
      </c>
      <c r="F42" s="17" t="s">
        <v>349</v>
      </c>
      <c r="G42" s="497">
        <f t="shared" si="18"/>
        <v>0.0023759722222222225</v>
      </c>
      <c r="H42" s="248">
        <f aca="true" t="shared" si="26" ref="H42:R56">IF($D42=H$1,$S42,"")</f>
      </c>
      <c r="I42" s="248">
        <f t="shared" si="26"/>
      </c>
      <c r="J42" s="248">
        <f t="shared" si="26"/>
      </c>
      <c r="K42" s="248">
        <f t="shared" si="26"/>
      </c>
      <c r="L42" s="248">
        <f t="shared" si="26"/>
      </c>
      <c r="M42" s="248">
        <f t="shared" si="26"/>
      </c>
      <c r="N42" s="248">
        <f t="shared" si="26"/>
      </c>
      <c r="O42" s="248">
        <f t="shared" si="26"/>
      </c>
      <c r="P42" s="248">
        <f t="shared" si="26"/>
      </c>
      <c r="Q42" s="248">
        <f t="shared" si="26"/>
      </c>
      <c r="R42" s="248">
        <f t="shared" si="26"/>
      </c>
      <c r="S42" s="212">
        <f t="shared" si="19"/>
        <v>0</v>
      </c>
      <c r="T42" s="12">
        <f t="shared" si="24"/>
        <v>0</v>
      </c>
      <c r="U42" s="155">
        <f t="shared" si="20"/>
      </c>
      <c r="V42" s="209"/>
      <c r="W42" s="104"/>
      <c r="X42" s="439" t="str">
        <f t="shared" si="21"/>
        <v>n/a</v>
      </c>
      <c r="Y42" s="196" t="str">
        <f t="shared" si="22"/>
        <v>n/a</v>
      </c>
      <c r="Z42" s="196">
        <f>IF($Y42="n/a","",_xlfn.IFERROR(COUNTIF($Y$2:$Y42,"="&amp;Y42),""))</f>
      </c>
      <c r="AA42" s="196">
        <f>COUNTIF($X$2:X41,"&lt;"&amp;X42)</f>
        <v>0</v>
      </c>
      <c r="AB42" s="206">
        <f t="shared" si="23"/>
        <v>0</v>
      </c>
      <c r="AC42" s="212">
        <f t="shared" si="25"/>
        <v>0</v>
      </c>
    </row>
    <row r="43" spans="1:29" ht="12.75">
      <c r="A43" s="348">
        <v>24</v>
      </c>
      <c r="B43" s="496" t="s">
        <v>224</v>
      </c>
      <c r="C43" s="496" t="str">
        <f t="shared" si="12"/>
        <v>russell maxwell</v>
      </c>
      <c r="D43" s="8" t="s">
        <v>215</v>
      </c>
      <c r="E43" s="8" t="s">
        <v>225</v>
      </c>
      <c r="F43" s="17" t="s">
        <v>364</v>
      </c>
      <c r="G43" s="497">
        <f t="shared" si="18"/>
        <v>0.0023846412037037035</v>
      </c>
      <c r="H43" s="248">
        <f t="shared" si="26"/>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12">
        <f t="shared" si="19"/>
        <v>0</v>
      </c>
      <c r="T43" s="12">
        <f t="shared" si="24"/>
        <v>0</v>
      </c>
      <c r="U43" s="155">
        <f t="shared" si="20"/>
      </c>
      <c r="V43" s="209"/>
      <c r="W43" s="104"/>
      <c r="X43" s="439" t="str">
        <f t="shared" si="21"/>
        <v>n/a</v>
      </c>
      <c r="Y43" s="196" t="str">
        <f t="shared" si="22"/>
        <v>n/a</v>
      </c>
      <c r="Z43" s="196">
        <f>IF($Y43="n/a","",_xlfn.IFERROR(COUNTIF($Y$2:$Y43,"="&amp;Y43),""))</f>
      </c>
      <c r="AA43" s="196">
        <f>COUNTIF($X$2:X42,"&lt;"&amp;X43)</f>
        <v>0</v>
      </c>
      <c r="AB43" s="206">
        <f t="shared" si="23"/>
        <v>0</v>
      </c>
      <c r="AC43" s="212">
        <f t="shared" si="25"/>
        <v>0</v>
      </c>
    </row>
    <row r="44" spans="1:29" ht="12.75">
      <c r="A44" s="410">
        <v>55</v>
      </c>
      <c r="B44" s="533" t="s">
        <v>298</v>
      </c>
      <c r="C44" s="533" t="str">
        <f t="shared" si="12"/>
        <v>kutay dal</v>
      </c>
      <c r="D44" s="412" t="s">
        <v>3</v>
      </c>
      <c r="E44" s="412" t="s">
        <v>299</v>
      </c>
      <c r="F44" s="534" t="s">
        <v>353</v>
      </c>
      <c r="G44" s="535">
        <f t="shared" si="18"/>
        <v>0.0023892824074074077</v>
      </c>
      <c r="H44" s="414">
        <f t="shared" si="26"/>
      </c>
      <c r="I44" s="414">
        <f t="shared" si="26"/>
      </c>
      <c r="J44" s="414">
        <f t="shared" si="26"/>
      </c>
      <c r="K44" s="414">
        <f t="shared" si="26"/>
      </c>
      <c r="L44" s="414">
        <f t="shared" si="26"/>
      </c>
      <c r="M44" s="414">
        <f t="shared" si="26"/>
      </c>
      <c r="N44" s="414">
        <f t="shared" si="26"/>
      </c>
      <c r="O44" s="414">
        <f t="shared" si="26"/>
      </c>
      <c r="P44" s="414">
        <f t="shared" si="26"/>
      </c>
      <c r="Q44" s="414">
        <f t="shared" si="26"/>
      </c>
      <c r="R44" s="414">
        <f t="shared" si="26"/>
        <v>100</v>
      </c>
      <c r="S44" s="212">
        <f t="shared" si="19"/>
        <v>100</v>
      </c>
      <c r="T44" s="412">
        <f t="shared" si="24"/>
        <v>0</v>
      </c>
      <c r="U44" s="422">
        <f t="shared" si="20"/>
        <v>181.203</v>
      </c>
      <c r="V44" s="423">
        <f>(($G44*86400)-U44)</f>
        <v>25.231000000000023</v>
      </c>
      <c r="W44" s="536">
        <f>IF(V44&lt;=0,10,IF(V44&lt;1,5,IF(V44&lt;2,0,IF(V44&lt;3,-5,-10))))</f>
        <v>-10</v>
      </c>
      <c r="X44" s="439">
        <f t="shared" si="21"/>
        <v>1</v>
      </c>
      <c r="Y44" s="196">
        <f t="shared" si="22"/>
        <v>1</v>
      </c>
      <c r="Z44" s="196">
        <f>IF($Y44="n/a","",_xlfn.IFERROR(COUNTIF($Y$2:$Y44,"="&amp;Y44),""))</f>
        <v>1</v>
      </c>
      <c r="AA44" s="196">
        <f>COUNTIF($X$2:X43,"&lt;"&amp;X44)</f>
        <v>0</v>
      </c>
      <c r="AB44" s="206">
        <f t="shared" si="23"/>
        <v>100</v>
      </c>
      <c r="AC44" s="212">
        <f t="shared" si="25"/>
        <v>90</v>
      </c>
    </row>
    <row r="45" spans="1:29" ht="12.75">
      <c r="A45" s="276">
        <v>205</v>
      </c>
      <c r="B45" s="543" t="s">
        <v>208</v>
      </c>
      <c r="C45" s="543" t="str">
        <f t="shared" si="12"/>
        <v>john reid</v>
      </c>
      <c r="D45" s="521" t="s">
        <v>51</v>
      </c>
      <c r="E45" s="521" t="s">
        <v>279</v>
      </c>
      <c r="F45" s="290" t="s">
        <v>358</v>
      </c>
      <c r="G45" s="544">
        <f t="shared" si="18"/>
        <v>0.0023997453703703707</v>
      </c>
      <c r="H45" s="274">
        <f t="shared" si="26"/>
      </c>
      <c r="I45" s="274">
        <f t="shared" si="26"/>
      </c>
      <c r="J45" s="274">
        <f t="shared" si="26"/>
      </c>
      <c r="K45" s="274">
        <f t="shared" si="26"/>
      </c>
      <c r="L45" s="274">
        <f t="shared" si="26"/>
        <v>75</v>
      </c>
      <c r="M45" s="274">
        <f t="shared" si="26"/>
      </c>
      <c r="N45" s="274">
        <f t="shared" si="26"/>
      </c>
      <c r="O45" s="274">
        <f t="shared" si="26"/>
      </c>
      <c r="P45" s="274">
        <f t="shared" si="26"/>
      </c>
      <c r="Q45" s="274">
        <f t="shared" si="26"/>
      </c>
      <c r="R45" s="274">
        <f t="shared" si="26"/>
      </c>
      <c r="S45" s="212">
        <f t="shared" si="19"/>
        <v>75</v>
      </c>
      <c r="T45" s="521">
        <f t="shared" si="24"/>
        <v>-60</v>
      </c>
      <c r="U45" s="277">
        <f t="shared" si="20"/>
        <v>175.98399999999998</v>
      </c>
      <c r="V45" s="278">
        <f>(($G45*86400)-U45)</f>
        <v>31.354000000000042</v>
      </c>
      <c r="W45" s="156">
        <f>IF(V45&lt;=0,10,IF(V45&lt;1,5,IF(V45&lt;2,0,IF(V45&lt;3,-5,-10))))</f>
        <v>-10</v>
      </c>
      <c r="X45" s="439">
        <f t="shared" si="21"/>
        <v>4</v>
      </c>
      <c r="Y45" s="196">
        <f t="shared" si="22"/>
        <v>7</v>
      </c>
      <c r="Z45" s="196">
        <f>IF($Y45="n/a","",_xlfn.IFERROR(COUNTIF($Y$2:$Y45,"="&amp;Y45),""))</f>
        <v>2</v>
      </c>
      <c r="AA45" s="196">
        <f>COUNTIF($X$2:X44,"&lt;"&amp;X45)</f>
        <v>8</v>
      </c>
      <c r="AB45" s="206">
        <f t="shared" si="23"/>
        <v>15</v>
      </c>
      <c r="AC45" s="212">
        <f t="shared" si="25"/>
        <v>5</v>
      </c>
    </row>
    <row r="46" spans="1:29" ht="12.75">
      <c r="A46" s="348">
        <v>44</v>
      </c>
      <c r="B46" s="496" t="s">
        <v>300</v>
      </c>
      <c r="C46" s="496" t="str">
        <f t="shared" si="12"/>
        <v>gregory unger</v>
      </c>
      <c r="D46" s="8" t="s">
        <v>215</v>
      </c>
      <c r="E46" s="8" t="s">
        <v>301</v>
      </c>
      <c r="F46" s="17" t="s">
        <v>356</v>
      </c>
      <c r="G46" s="497">
        <f t="shared" si="18"/>
        <v>0.0024376388888888885</v>
      </c>
      <c r="H46" s="248">
        <f t="shared" si="26"/>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12">
        <f t="shared" si="19"/>
        <v>0</v>
      </c>
      <c r="T46" s="12">
        <f t="shared" si="24"/>
        <v>0</v>
      </c>
      <c r="U46" s="155">
        <f t="shared" si="20"/>
      </c>
      <c r="V46" s="209"/>
      <c r="W46" s="104"/>
      <c r="X46" s="439" t="str">
        <f t="shared" si="21"/>
        <v>n/a</v>
      </c>
      <c r="Y46" s="196" t="str">
        <f t="shared" si="22"/>
        <v>n/a</v>
      </c>
      <c r="Z46" s="196">
        <f>IF($Y46="n/a","",_xlfn.IFERROR(COUNTIF($Y$2:$Y46,"="&amp;Y46),""))</f>
      </c>
      <c r="AA46" s="196">
        <f>COUNTIF($X$2:X45,"&lt;"&amp;X46)</f>
        <v>0</v>
      </c>
      <c r="AB46" s="206">
        <f t="shared" si="23"/>
        <v>0</v>
      </c>
      <c r="AC46" s="212">
        <f t="shared" si="25"/>
        <v>0</v>
      </c>
    </row>
    <row r="47" spans="1:29" ht="12.75">
      <c r="A47" s="410">
        <v>65</v>
      </c>
      <c r="B47" s="533" t="s">
        <v>308</v>
      </c>
      <c r="C47" s="533" t="str">
        <f t="shared" si="12"/>
        <v>daryl ervine</v>
      </c>
      <c r="D47" s="412" t="s">
        <v>3</v>
      </c>
      <c r="E47" s="412" t="s">
        <v>309</v>
      </c>
      <c r="F47" s="534" t="s">
        <v>354</v>
      </c>
      <c r="G47" s="535">
        <f t="shared" si="18"/>
        <v>0.00246818287037037</v>
      </c>
      <c r="H47" s="414">
        <f t="shared" si="26"/>
      </c>
      <c r="I47" s="414">
        <f t="shared" si="26"/>
      </c>
      <c r="J47" s="414">
        <f t="shared" si="26"/>
      </c>
      <c r="K47" s="414">
        <f t="shared" si="26"/>
      </c>
      <c r="L47" s="414">
        <f t="shared" si="26"/>
      </c>
      <c r="M47" s="414">
        <f t="shared" si="26"/>
      </c>
      <c r="N47" s="414">
        <f t="shared" si="26"/>
      </c>
      <c r="O47" s="414">
        <f t="shared" si="26"/>
      </c>
      <c r="P47" s="414">
        <f t="shared" si="26"/>
      </c>
      <c r="Q47" s="414">
        <f t="shared" si="26"/>
      </c>
      <c r="R47" s="414">
        <f t="shared" si="26"/>
        <v>75</v>
      </c>
      <c r="S47" s="212">
        <f t="shared" si="19"/>
        <v>75</v>
      </c>
      <c r="T47" s="412">
        <f t="shared" si="24"/>
        <v>0</v>
      </c>
      <c r="U47" s="422">
        <f t="shared" si="20"/>
        <v>181.203</v>
      </c>
      <c r="V47" s="423">
        <f>(($G47*86400)-U47)</f>
        <v>32.04799999999997</v>
      </c>
      <c r="W47" s="536">
        <f>IF(V47&lt;=0,10,IF(V47&lt;1,5,IF(V47&lt;2,0,IF(V47&lt;3,-5,-10))))</f>
        <v>-10</v>
      </c>
      <c r="X47" s="439">
        <f t="shared" si="21"/>
        <v>1</v>
      </c>
      <c r="Y47" s="196">
        <f t="shared" si="22"/>
        <v>1</v>
      </c>
      <c r="Z47" s="196">
        <f>IF($Y47="n/a","",_xlfn.IFERROR(COUNTIF($Y$2:$Y47,"="&amp;Y47),""))</f>
        <v>2</v>
      </c>
      <c r="AA47" s="196">
        <f>COUNTIF($X$2:X46,"&lt;"&amp;X47)</f>
        <v>0</v>
      </c>
      <c r="AB47" s="206">
        <f t="shared" si="23"/>
        <v>75</v>
      </c>
      <c r="AC47" s="212">
        <f t="shared" si="25"/>
        <v>65</v>
      </c>
    </row>
    <row r="48" spans="1:29" ht="12.75">
      <c r="A48" s="348">
        <v>19</v>
      </c>
      <c r="B48" s="496" t="s">
        <v>290</v>
      </c>
      <c r="C48" s="496" t="str">
        <f t="shared" si="12"/>
        <v>ajith perera</v>
      </c>
      <c r="D48" s="8" t="s">
        <v>217</v>
      </c>
      <c r="E48" s="8" t="s">
        <v>291</v>
      </c>
      <c r="F48" s="17" t="s">
        <v>361</v>
      </c>
      <c r="G48" s="497">
        <f t="shared" si="18"/>
        <v>0.002509490740740741</v>
      </c>
      <c r="H48" s="248">
        <f t="shared" si="26"/>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12">
        <f t="shared" si="19"/>
        <v>0</v>
      </c>
      <c r="T48" s="12">
        <f t="shared" si="24"/>
        <v>0</v>
      </c>
      <c r="U48" s="155">
        <f t="shared" si="20"/>
      </c>
      <c r="V48" s="209"/>
      <c r="W48" s="104"/>
      <c r="X48" s="439" t="str">
        <f t="shared" si="21"/>
        <v>n/a</v>
      </c>
      <c r="Y48" s="196" t="str">
        <f t="shared" si="22"/>
        <v>n/a</v>
      </c>
      <c r="Z48" s="196">
        <f>IF($Y48="n/a","",_xlfn.IFERROR(COUNTIF($Y$2:$Y48,"="&amp;Y48),""))</f>
      </c>
      <c r="AA48" s="196">
        <f>COUNTIF($X$2:X47,"&lt;"&amp;X48)</f>
        <v>0</v>
      </c>
      <c r="AB48" s="206">
        <f t="shared" si="23"/>
        <v>0</v>
      </c>
      <c r="AC48" s="212">
        <f t="shared" si="25"/>
        <v>0</v>
      </c>
    </row>
    <row r="49" spans="1:29" ht="12.75">
      <c r="A49" s="107">
        <v>77</v>
      </c>
      <c r="B49" s="551" t="s">
        <v>212</v>
      </c>
      <c r="C49" s="551" t="str">
        <f t="shared" si="12"/>
        <v>simeon ouzas</v>
      </c>
      <c r="D49" s="48" t="s">
        <v>5</v>
      </c>
      <c r="E49" s="48" t="s">
        <v>277</v>
      </c>
      <c r="F49" s="552" t="s">
        <v>365</v>
      </c>
      <c r="G49" s="553">
        <f t="shared" si="18"/>
        <v>0.0025254050925925925</v>
      </c>
      <c r="H49" s="250">
        <f t="shared" si="26"/>
      </c>
      <c r="I49" s="250">
        <f t="shared" si="26"/>
      </c>
      <c r="J49" s="250">
        <f t="shared" si="26"/>
      </c>
      <c r="K49" s="250">
        <f t="shared" si="26"/>
      </c>
      <c r="L49" s="250">
        <f t="shared" si="26"/>
      </c>
      <c r="M49" s="250">
        <f t="shared" si="26"/>
      </c>
      <c r="N49" s="250">
        <f t="shared" si="26"/>
      </c>
      <c r="O49" s="250">
        <f t="shared" si="26"/>
      </c>
      <c r="P49" s="250">
        <f t="shared" si="26"/>
      </c>
      <c r="Q49" s="250">
        <f t="shared" si="26"/>
        <v>60</v>
      </c>
      <c r="R49" s="250">
        <f t="shared" si="26"/>
      </c>
      <c r="S49" s="212">
        <f t="shared" si="19"/>
        <v>60</v>
      </c>
      <c r="T49" s="48">
        <f t="shared" si="24"/>
        <v>0</v>
      </c>
      <c r="U49" s="215">
        <f t="shared" si="20"/>
        <v>178.985</v>
      </c>
      <c r="V49" s="210">
        <f>(($G49*86400)-U49)</f>
        <v>39.20999999999998</v>
      </c>
      <c r="W49" s="108">
        <f>IF(V49&lt;=0,10,IF(V49&lt;1,5,IF(V49&lt;2,0,IF(V49&lt;3,-5,-10))))</f>
        <v>-10</v>
      </c>
      <c r="X49" s="439">
        <f t="shared" si="21"/>
        <v>1</v>
      </c>
      <c r="Y49" s="196">
        <f t="shared" si="22"/>
        <v>2</v>
      </c>
      <c r="Z49" s="196">
        <f>IF($Y49="n/a","",_xlfn.IFERROR(COUNTIF($Y$2:$Y49,"="&amp;Y49),""))</f>
        <v>3</v>
      </c>
      <c r="AA49" s="196">
        <f>COUNTIF($X$2:X48,"&lt;"&amp;X49)</f>
        <v>0</v>
      </c>
      <c r="AB49" s="206">
        <f t="shared" si="23"/>
        <v>60</v>
      </c>
      <c r="AC49" s="212">
        <f t="shared" si="25"/>
        <v>50</v>
      </c>
    </row>
    <row r="50" spans="1:29" ht="12.75">
      <c r="A50" s="348">
        <v>56</v>
      </c>
      <c r="B50" s="496" t="s">
        <v>296</v>
      </c>
      <c r="C50" s="496" t="str">
        <f t="shared" si="12"/>
        <v>tim van duyl</v>
      </c>
      <c r="D50" s="8" t="s">
        <v>217</v>
      </c>
      <c r="E50" s="8" t="s">
        <v>297</v>
      </c>
      <c r="F50" s="17" t="s">
        <v>363</v>
      </c>
      <c r="G50" s="497">
        <f t="shared" si="18"/>
        <v>0.0025382175925925928</v>
      </c>
      <c r="H50" s="248">
        <f t="shared" si="26"/>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12">
        <f t="shared" si="19"/>
        <v>0</v>
      </c>
      <c r="T50" s="12">
        <f t="shared" si="24"/>
        <v>0</v>
      </c>
      <c r="U50" s="155">
        <f t="shared" si="20"/>
      </c>
      <c r="V50" s="209"/>
      <c r="W50" s="104"/>
      <c r="X50" s="439" t="str">
        <f t="shared" si="21"/>
        <v>n/a</v>
      </c>
      <c r="Y50" s="196" t="str">
        <f t="shared" si="22"/>
        <v>n/a</v>
      </c>
      <c r="Z50" s="196">
        <f>IF($Y50="n/a","",_xlfn.IFERROR(COUNTIF($Y$2:$Y50,"="&amp;Y50),""))</f>
      </c>
      <c r="AA50" s="196">
        <f>COUNTIF($X$2:X49,"&lt;"&amp;X50)</f>
        <v>0</v>
      </c>
      <c r="AB50" s="206">
        <f t="shared" si="23"/>
        <v>0</v>
      </c>
      <c r="AC50" s="212">
        <f t="shared" si="25"/>
        <v>0</v>
      </c>
    </row>
    <row r="51" spans="1:29" ht="12.75">
      <c r="A51" s="348">
        <v>173</v>
      </c>
      <c r="B51" s="496" t="s">
        <v>310</v>
      </c>
      <c r="C51" s="496" t="str">
        <f t="shared" si="12"/>
        <v>geoff pitt</v>
      </c>
      <c r="D51" s="8" t="s">
        <v>217</v>
      </c>
      <c r="E51" s="8" t="s">
        <v>311</v>
      </c>
      <c r="F51" s="17" t="s">
        <v>360</v>
      </c>
      <c r="G51" s="497">
        <f t="shared" si="18"/>
        <v>0.002585474537037037</v>
      </c>
      <c r="H51" s="248">
        <f t="shared" si="26"/>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12">
        <f t="shared" si="19"/>
        <v>0</v>
      </c>
      <c r="T51" s="12">
        <f aca="true" t="shared" si="27" ref="T51:T56">AB51-S51</f>
        <v>0</v>
      </c>
      <c r="U51" s="155">
        <f t="shared" si="20"/>
      </c>
      <c r="V51" s="209"/>
      <c r="W51" s="104"/>
      <c r="X51" s="439" t="str">
        <f t="shared" si="21"/>
        <v>n/a</v>
      </c>
      <c r="Y51" s="196" t="str">
        <f t="shared" si="22"/>
        <v>n/a</v>
      </c>
      <c r="Z51" s="196">
        <f>IF($Y51="n/a","",_xlfn.IFERROR(COUNTIF($Y$2:$Y51,"="&amp;Y51),""))</f>
      </c>
      <c r="AA51" s="196">
        <f>COUNTIF($X$2:X36,"&lt;"&amp;X51)</f>
        <v>0</v>
      </c>
      <c r="AB51" s="206">
        <f t="shared" si="23"/>
        <v>0</v>
      </c>
      <c r="AC51" s="212">
        <f aca="true" t="shared" si="28" ref="AC51:AC56">(S51+T51+W51)</f>
        <v>0</v>
      </c>
    </row>
    <row r="52" spans="1:29" ht="12.75">
      <c r="A52" s="348">
        <v>231</v>
      </c>
      <c r="B52" s="496" t="s">
        <v>325</v>
      </c>
      <c r="C52" s="496" t="str">
        <f t="shared" si="12"/>
        <v>ben oldfield </v>
      </c>
      <c r="D52" s="8" t="s">
        <v>215</v>
      </c>
      <c r="E52" s="8" t="s">
        <v>366</v>
      </c>
      <c r="F52" s="17" t="s">
        <v>326</v>
      </c>
      <c r="G52" s="497" t="e">
        <f t="shared" si="18"/>
        <v>#VALUE!</v>
      </c>
      <c r="H52" s="248">
        <f t="shared" si="26"/>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12">
        <f t="shared" si="19"/>
        <v>0</v>
      </c>
      <c r="T52" s="12">
        <f t="shared" si="27"/>
        <v>0</v>
      </c>
      <c r="U52" s="155">
        <f t="shared" si="20"/>
      </c>
      <c r="V52" s="209"/>
      <c r="W52" s="104"/>
      <c r="X52" s="439" t="str">
        <f t="shared" si="21"/>
        <v>n/a</v>
      </c>
      <c r="Y52" s="196" t="str">
        <f t="shared" si="22"/>
        <v>n/a</v>
      </c>
      <c r="Z52" s="196">
        <f>IF($Y52="n/a","",_xlfn.IFERROR(COUNTIF($Y$2:$Y52,"="&amp;Y52),""))</f>
      </c>
      <c r="AA52" s="196">
        <f>COUNTIF($X$2:X51,"&lt;"&amp;X52)</f>
        <v>0</v>
      </c>
      <c r="AB52" s="206">
        <f t="shared" si="23"/>
        <v>0</v>
      </c>
      <c r="AC52" s="212">
        <f t="shared" si="28"/>
        <v>0</v>
      </c>
    </row>
    <row r="53" spans="1:29" ht="12.75">
      <c r="A53" s="348">
        <v>160</v>
      </c>
      <c r="B53" s="1" t="s">
        <v>292</v>
      </c>
      <c r="C53" s="496" t="str">
        <f t="shared" si="12"/>
        <v>sean byers</v>
      </c>
      <c r="D53" s="1" t="s">
        <v>215</v>
      </c>
      <c r="E53" s="17" t="s">
        <v>293</v>
      </c>
      <c r="F53" s="498" t="s">
        <v>366</v>
      </c>
      <c r="G53" s="497" t="e">
        <f t="shared" si="18"/>
        <v>#VALUE!</v>
      </c>
      <c r="H53" s="248">
        <f t="shared" si="26"/>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12">
        <f t="shared" si="19"/>
        <v>0</v>
      </c>
      <c r="T53" s="12">
        <f t="shared" si="27"/>
        <v>0</v>
      </c>
      <c r="U53" s="155">
        <f t="shared" si="20"/>
      </c>
      <c r="V53" s="209"/>
      <c r="W53" s="104"/>
      <c r="X53" s="439" t="str">
        <f t="shared" si="21"/>
        <v>n/a</v>
      </c>
      <c r="Y53" s="196" t="str">
        <f t="shared" si="22"/>
        <v>n/a</v>
      </c>
      <c r="Z53" s="196">
        <f>IF($Y53="n/a","",_xlfn.IFERROR(COUNTIF($Y$2:$Y53,"="&amp;Y53),""))</f>
      </c>
      <c r="AA53" s="196">
        <f>COUNTIF($X$2:X52,"&lt;"&amp;X53)</f>
        <v>0</v>
      </c>
      <c r="AB53" s="206">
        <f t="shared" si="23"/>
        <v>0</v>
      </c>
      <c r="AC53" s="212">
        <f t="shared" si="28"/>
        <v>0</v>
      </c>
    </row>
    <row r="54" spans="1:29" ht="12.75">
      <c r="A54" s="348">
        <v>22</v>
      </c>
      <c r="B54" s="1" t="s">
        <v>304</v>
      </c>
      <c r="C54" s="496" t="str">
        <f t="shared" si="12"/>
        <v>peter whitaker</v>
      </c>
      <c r="D54" s="1" t="s">
        <v>217</v>
      </c>
      <c r="E54" s="17" t="s">
        <v>305</v>
      </c>
      <c r="F54" s="498" t="s">
        <v>366</v>
      </c>
      <c r="G54" s="497" t="e">
        <f t="shared" si="18"/>
        <v>#VALUE!</v>
      </c>
      <c r="H54" s="248">
        <f t="shared" si="26"/>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12">
        <f t="shared" si="19"/>
        <v>0</v>
      </c>
      <c r="T54" s="12">
        <f t="shared" si="27"/>
        <v>0</v>
      </c>
      <c r="U54" s="155">
        <f t="shared" si="20"/>
      </c>
      <c r="V54" s="209"/>
      <c r="W54" s="104"/>
      <c r="X54" s="439" t="str">
        <f t="shared" si="21"/>
        <v>n/a</v>
      </c>
      <c r="Y54" s="196" t="str">
        <f t="shared" si="22"/>
        <v>n/a</v>
      </c>
      <c r="Z54" s="196">
        <f>IF($Y54="n/a","",_xlfn.IFERROR(COUNTIF($Y$2:$Y54,"="&amp;Y54),""))</f>
      </c>
      <c r="AA54" s="196">
        <f>COUNTIF($X$2:X53,"&lt;"&amp;X54)</f>
        <v>0</v>
      </c>
      <c r="AB54" s="206">
        <f t="shared" si="23"/>
        <v>0</v>
      </c>
      <c r="AC54" s="212">
        <f t="shared" si="28"/>
        <v>0</v>
      </c>
    </row>
    <row r="55" spans="1:29" ht="12.75">
      <c r="A55" s="348">
        <v>63</v>
      </c>
      <c r="B55" s="1" t="s">
        <v>306</v>
      </c>
      <c r="C55" s="496" t="str">
        <f t="shared" si="12"/>
        <v>jamie collins</v>
      </c>
      <c r="D55" s="1" t="s">
        <v>215</v>
      </c>
      <c r="E55" s="17" t="s">
        <v>307</v>
      </c>
      <c r="F55" s="498" t="s">
        <v>366</v>
      </c>
      <c r="G55" s="497" t="e">
        <f t="shared" si="18"/>
        <v>#VALUE!</v>
      </c>
      <c r="H55" s="248">
        <f t="shared" si="26"/>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12">
        <f t="shared" si="19"/>
        <v>0</v>
      </c>
      <c r="T55" s="12">
        <f t="shared" si="27"/>
        <v>0</v>
      </c>
      <c r="U55" s="155">
        <f t="shared" si="20"/>
      </c>
      <c r="V55" s="209"/>
      <c r="W55" s="104"/>
      <c r="X55" s="439" t="str">
        <f t="shared" si="21"/>
        <v>n/a</v>
      </c>
      <c r="Y55" s="196" t="str">
        <f t="shared" si="22"/>
        <v>n/a</v>
      </c>
      <c r="Z55" s="196">
        <f>IF($Y55="n/a","",_xlfn.IFERROR(COUNTIF($Y$2:$Y55,"="&amp;Y55),""))</f>
      </c>
      <c r="AA55" s="196">
        <f>COUNTIF($X$2:X54,"&lt;"&amp;X55)</f>
        <v>0</v>
      </c>
      <c r="AB55" s="206">
        <f t="shared" si="23"/>
        <v>0</v>
      </c>
      <c r="AC55" s="212">
        <f t="shared" si="28"/>
        <v>0</v>
      </c>
    </row>
    <row r="56" spans="1:29" ht="12.75" thickBot="1">
      <c r="A56" s="362">
        <v>131</v>
      </c>
      <c r="B56" s="272" t="s">
        <v>312</v>
      </c>
      <c r="C56" s="496" t="str">
        <f t="shared" si="12"/>
        <v>joe kovacic</v>
      </c>
      <c r="D56" s="272" t="s">
        <v>215</v>
      </c>
      <c r="E56" s="499" t="s">
        <v>313</v>
      </c>
      <c r="F56" s="500" t="s">
        <v>366</v>
      </c>
      <c r="G56" s="501" t="e">
        <f t="shared" si="18"/>
        <v>#VALUE!</v>
      </c>
      <c r="H56" s="285">
        <f t="shared" si="26"/>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13">
        <f t="shared" si="19"/>
        <v>0</v>
      </c>
      <c r="T56" s="479">
        <f t="shared" si="27"/>
        <v>0</v>
      </c>
      <c r="U56" s="162">
        <f t="shared" si="20"/>
      </c>
      <c r="V56" s="271"/>
      <c r="W56" s="176"/>
      <c r="X56" s="440" t="str">
        <f t="shared" si="21"/>
        <v>n/a</v>
      </c>
      <c r="Y56" s="441" t="str">
        <f t="shared" si="22"/>
        <v>n/a</v>
      </c>
      <c r="Z56" s="441">
        <f>IF($Y56="n/a","",_xlfn.IFERROR(COUNTIF($Y$2:$Y56,"="&amp;Y56),""))</f>
      </c>
      <c r="AA56" s="441">
        <f>COUNTIF($X$2:X55,"&lt;"&amp;X56)</f>
        <v>0</v>
      </c>
      <c r="AB56" s="442">
        <f t="shared" si="23"/>
        <v>0</v>
      </c>
      <c r="AC56" s="213">
        <f t="shared" si="28"/>
        <v>0</v>
      </c>
    </row>
    <row r="57" spans="5:29" ht="12.75" thickBot="1">
      <c r="E57" s="175"/>
      <c r="H57" s="502">
        <f aca="true" t="shared" si="29" ref="H57:S57">COUNT(H2:H56)</f>
        <v>0</v>
      </c>
      <c r="I57" s="503">
        <f t="shared" si="29"/>
        <v>5</v>
      </c>
      <c r="J57" s="503">
        <f t="shared" si="29"/>
        <v>3</v>
      </c>
      <c r="K57" s="503">
        <f t="shared" si="29"/>
        <v>2</v>
      </c>
      <c r="L57" s="503">
        <f t="shared" si="29"/>
        <v>2</v>
      </c>
      <c r="M57" s="503">
        <f t="shared" si="29"/>
        <v>2</v>
      </c>
      <c r="N57" s="503">
        <f t="shared" si="29"/>
        <v>0</v>
      </c>
      <c r="O57" s="503">
        <f t="shared" si="29"/>
        <v>0</v>
      </c>
      <c r="P57" s="503">
        <f t="shared" si="29"/>
        <v>3</v>
      </c>
      <c r="Q57" s="503">
        <f t="shared" si="29"/>
        <v>3</v>
      </c>
      <c r="R57" s="503">
        <f t="shared" si="29"/>
        <v>2</v>
      </c>
      <c r="S57" s="504">
        <f t="shared" si="29"/>
        <v>55</v>
      </c>
      <c r="T57" s="216"/>
      <c r="U57" s="216"/>
      <c r="V57" s="204"/>
      <c r="W57" s="216"/>
      <c r="X57" s="216"/>
      <c r="Y57" s="216"/>
      <c r="Z57" s="216"/>
      <c r="AA57" s="216"/>
      <c r="AB57" s="216"/>
      <c r="AC57" s="216"/>
    </row>
    <row r="58" spans="20:29" ht="12.75">
      <c r="T58" s="8"/>
      <c r="U58" s="1"/>
      <c r="V58" s="204"/>
      <c r="W58" s="1"/>
      <c r="X58" s="8"/>
      <c r="Y58" s="8"/>
      <c r="Z58" s="8"/>
      <c r="AA58" s="8"/>
      <c r="AB58" s="8"/>
      <c r="AC58" s="1"/>
    </row>
    <row r="59" spans="2:28" ht="12.75">
      <c r="B59" s="2"/>
      <c r="C59" s="2"/>
      <c r="D59" s="111"/>
      <c r="T59" s="111"/>
      <c r="X59" s="111"/>
      <c r="Y59" s="111"/>
      <c r="Z59" s="111"/>
      <c r="AA59" s="111"/>
      <c r="AB59"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3" t="s">
        <v>98</v>
      </c>
      <c r="AE1" s="624" t="s">
        <v>108</v>
      </c>
      <c r="AF1" s="625"/>
      <c r="AG1" s="626"/>
    </row>
    <row r="2" spans="1:33" ht="12.75">
      <c r="A2" s="561">
        <v>211</v>
      </c>
      <c r="B2" s="562" t="s">
        <v>379</v>
      </c>
      <c r="C2" s="562" t="str">
        <f>LOWER(B2)</f>
        <v>brendan beavis</v>
      </c>
      <c r="D2" s="563" t="s">
        <v>14</v>
      </c>
      <c r="E2" s="564" t="s">
        <v>380</v>
      </c>
      <c r="F2" s="565" t="s">
        <v>164</v>
      </c>
      <c r="G2" s="563" t="s">
        <v>175</v>
      </c>
      <c r="H2" s="566">
        <f>IF($D2=H$1,$S2,"")</f>
        <v>100</v>
      </c>
      <c r="I2" s="566">
        <f aca="true" t="shared" si="0" ref="I2:R2">IF($D2=I$1,$S2,"")</f>
      </c>
      <c r="J2" s="566">
        <f t="shared" si="0"/>
      </c>
      <c r="K2" s="566">
        <f t="shared" si="0"/>
      </c>
      <c r="L2" s="566">
        <f t="shared" si="0"/>
      </c>
      <c r="M2" s="566">
        <f t="shared" si="0"/>
      </c>
      <c r="N2" s="566">
        <f t="shared" si="0"/>
      </c>
      <c r="O2" s="566">
        <f t="shared" si="0"/>
      </c>
      <c r="P2" s="566">
        <f t="shared" si="0"/>
      </c>
      <c r="Q2" s="566">
        <f t="shared" si="0"/>
      </c>
      <c r="R2" s="566">
        <f t="shared" si="0"/>
      </c>
      <c r="S2" s="168">
        <f aca="true" t="shared" si="1" ref="S2:S30">_xlfn.IFERROR(VLOOKUP($Z2,Points2018,2,0),0)</f>
        <v>100</v>
      </c>
      <c r="T2" s="561">
        <f aca="true" t="shared" si="2" ref="T2:T30">AB2-S2</f>
        <v>0</v>
      </c>
      <c r="U2" s="567">
        <f aca="true" t="shared" si="3" ref="U2:U30">_xlfn.IFERROR(VLOOKUP(D2,BenchmarksRd4,3,0)*86400,"")</f>
        <v>83.047</v>
      </c>
      <c r="V2" s="568">
        <f aca="true" t="shared" si="4" ref="V2:V8">(($E2*86400)-U2)</f>
        <v>-1.394999999999996</v>
      </c>
      <c r="W2" s="589">
        <f aca="true" t="shared" si="5" ref="W2:W8">IF(V2&lt;=0,10,IF(V2&lt;1,5,IF(V2&lt;2,0,IF(V2&lt;3,-5,-10))))</f>
        <v>10</v>
      </c>
      <c r="X2" s="217">
        <f aca="true" t="shared" si="6" ref="X2:X30">_xlfn.IFERROR(VLOOKUP(D2,Class2018,4,0),"n/a")</f>
        <v>7</v>
      </c>
      <c r="Y2" s="217">
        <f aca="true" t="shared" si="7" ref="Y2:Y30">_xlfn.IFERROR(VLOOKUP(D2,Class2018,3,0),"n/a")</f>
        <v>11</v>
      </c>
      <c r="Z2" s="217">
        <f>IF($Y2="n/a","",_xlfn.IFERROR(COUNTIF($Y$2:$Y2,"="&amp;Y2),""))</f>
        <v>1</v>
      </c>
      <c r="AA2" s="217">
        <f>COUNTIF($X1:X$2,"&lt;"&amp;X2)</f>
        <v>0</v>
      </c>
      <c r="AB2" s="247">
        <f aca="true" t="shared" si="8" ref="AB2:AB30">IF($Y2="n/a",0,_xlfn.IFERROR(VLOOKUP(Z2+AA2,Points2018,2,0),15))</f>
        <v>100</v>
      </c>
      <c r="AC2" s="480">
        <f aca="true" t="shared" si="9" ref="AC2:AC30">(S2+T2+W2)</f>
        <v>110</v>
      </c>
      <c r="AE2" s="251" t="s">
        <v>3</v>
      </c>
      <c r="AF2" s="426" t="s">
        <v>76</v>
      </c>
      <c r="AG2" s="427">
        <v>0.0011239236111111111</v>
      </c>
    </row>
    <row r="3" spans="1:33" ht="12.75">
      <c r="A3" s="112">
        <v>724</v>
      </c>
      <c r="B3" s="65" t="s">
        <v>381</v>
      </c>
      <c r="C3" s="65" t="str">
        <f aca="true" t="shared" si="10" ref="C3:C30">LOWER(B3)</f>
        <v>dean monik</v>
      </c>
      <c r="D3" s="69" t="s">
        <v>13</v>
      </c>
      <c r="E3" s="318" t="s">
        <v>382</v>
      </c>
      <c r="F3" s="65"/>
      <c r="G3" s="69" t="s">
        <v>86</v>
      </c>
      <c r="H3" s="71">
        <f aca="true" t="shared" si="11" ref="H3:R30">IF($D3=H$1,$S3,"")</f>
      </c>
      <c r="I3" s="71">
        <f t="shared" si="11"/>
        <v>100</v>
      </c>
      <c r="J3" s="71">
        <f t="shared" si="11"/>
      </c>
      <c r="K3" s="71">
        <f t="shared" si="11"/>
      </c>
      <c r="L3" s="71">
        <f t="shared" si="11"/>
      </c>
      <c r="M3" s="71">
        <f t="shared" si="11"/>
      </c>
      <c r="N3" s="71">
        <f t="shared" si="11"/>
      </c>
      <c r="O3" s="71">
        <f t="shared" si="11"/>
      </c>
      <c r="P3" s="71">
        <f t="shared" si="11"/>
      </c>
      <c r="Q3" s="71">
        <f t="shared" si="11"/>
      </c>
      <c r="R3" s="71">
        <f t="shared" si="11"/>
      </c>
      <c r="S3" s="103">
        <f t="shared" si="1"/>
        <v>100</v>
      </c>
      <c r="T3" s="112">
        <f t="shared" si="2"/>
        <v>0</v>
      </c>
      <c r="U3" s="262">
        <f t="shared" si="3"/>
        <v>84.987</v>
      </c>
      <c r="V3" s="207">
        <f t="shared" si="4"/>
        <v>2.059999999999988</v>
      </c>
      <c r="W3" s="113">
        <f t="shared" si="5"/>
        <v>-5</v>
      </c>
      <c r="X3" s="196">
        <f t="shared" si="6"/>
        <v>6</v>
      </c>
      <c r="Y3" s="196">
        <f t="shared" si="7"/>
        <v>10</v>
      </c>
      <c r="Z3" s="196">
        <f>IF($Y3="n/a","",_xlfn.IFERROR(COUNTIF($Y$2:$Y3,"="&amp;Y3),""))</f>
        <v>1</v>
      </c>
      <c r="AA3" s="196">
        <f>COUNTIF($X2:X$2,"&lt;"&amp;X3)</f>
        <v>0</v>
      </c>
      <c r="AB3" s="206">
        <f t="shared" si="8"/>
        <v>100</v>
      </c>
      <c r="AC3" s="346">
        <f t="shared" si="9"/>
        <v>95</v>
      </c>
      <c r="AE3" s="252" t="s">
        <v>5</v>
      </c>
      <c r="AF3" s="347" t="s">
        <v>423</v>
      </c>
      <c r="AG3" s="556">
        <v>0.001100925925925926</v>
      </c>
    </row>
    <row r="4" spans="1:33" ht="12.75">
      <c r="A4" s="388">
        <v>6</v>
      </c>
      <c r="B4" s="389" t="s">
        <v>106</v>
      </c>
      <c r="C4" s="389" t="str">
        <f t="shared" si="10"/>
        <v>russell garner</v>
      </c>
      <c r="D4" s="390" t="s">
        <v>16</v>
      </c>
      <c r="E4" s="576" t="s">
        <v>383</v>
      </c>
      <c r="F4" s="577" t="s">
        <v>164</v>
      </c>
      <c r="G4" s="390" t="s">
        <v>55</v>
      </c>
      <c r="H4" s="392">
        <f t="shared" si="11"/>
      </c>
      <c r="I4" s="392">
        <f t="shared" si="11"/>
      </c>
      <c r="J4" s="392">
        <f t="shared" si="11"/>
        <v>100</v>
      </c>
      <c r="K4" s="392">
        <f t="shared" si="11"/>
      </c>
      <c r="L4" s="392">
        <f t="shared" si="11"/>
      </c>
      <c r="M4" s="392">
        <f t="shared" si="11"/>
      </c>
      <c r="N4" s="392">
        <f t="shared" si="11"/>
      </c>
      <c r="O4" s="392">
        <f t="shared" si="11"/>
      </c>
      <c r="P4" s="392">
        <f t="shared" si="11"/>
      </c>
      <c r="Q4" s="392">
        <f t="shared" si="11"/>
      </c>
      <c r="R4" s="392">
        <f t="shared" si="11"/>
      </c>
      <c r="S4" s="103">
        <f t="shared" si="1"/>
        <v>100</v>
      </c>
      <c r="T4" s="388">
        <f>AB4-S4</f>
        <v>0</v>
      </c>
      <c r="U4" s="393">
        <f t="shared" si="3"/>
        <v>88.531</v>
      </c>
      <c r="V4" s="394">
        <f t="shared" si="4"/>
        <v>-0.9910000000000139</v>
      </c>
      <c r="W4" s="532">
        <f t="shared" si="5"/>
        <v>10</v>
      </c>
      <c r="X4" s="196">
        <f t="shared" si="6"/>
        <v>5</v>
      </c>
      <c r="Y4" s="196">
        <f t="shared" si="7"/>
        <v>9</v>
      </c>
      <c r="Z4" s="196">
        <f>IF($Y4="n/a","",_xlfn.IFERROR(COUNTIF($Y$2:$Y4,"="&amp;Y4),""))</f>
        <v>1</v>
      </c>
      <c r="AA4" s="196">
        <f>COUNTIF($X$2:X3,"&lt;"&amp;X4)</f>
        <v>0</v>
      </c>
      <c r="AB4" s="206">
        <f t="shared" si="8"/>
        <v>100</v>
      </c>
      <c r="AC4" s="346">
        <f t="shared" si="9"/>
        <v>110</v>
      </c>
      <c r="AE4" s="253" t="s">
        <v>4</v>
      </c>
      <c r="AF4" s="141" t="s">
        <v>424</v>
      </c>
      <c r="AG4" s="349">
        <v>0.0010593518518518517</v>
      </c>
    </row>
    <row r="5" spans="1:33" ht="12.75">
      <c r="A5" s="112">
        <v>124</v>
      </c>
      <c r="B5" s="65" t="s">
        <v>83</v>
      </c>
      <c r="C5" s="65" t="str">
        <f t="shared" si="10"/>
        <v>ray monik</v>
      </c>
      <c r="D5" s="69" t="s">
        <v>13</v>
      </c>
      <c r="E5" s="318" t="s">
        <v>384</v>
      </c>
      <c r="F5" s="65"/>
      <c r="G5" s="69" t="s">
        <v>385</v>
      </c>
      <c r="H5" s="71">
        <f t="shared" si="11"/>
      </c>
      <c r="I5" s="71">
        <f t="shared" si="11"/>
        <v>75</v>
      </c>
      <c r="J5" s="71">
        <f t="shared" si="11"/>
      </c>
      <c r="K5" s="71">
        <f t="shared" si="11"/>
      </c>
      <c r="L5" s="71">
        <f t="shared" si="11"/>
      </c>
      <c r="M5" s="71">
        <f t="shared" si="11"/>
      </c>
      <c r="N5" s="71">
        <f t="shared" si="11"/>
      </c>
      <c r="O5" s="71">
        <f t="shared" si="11"/>
      </c>
      <c r="P5" s="71">
        <f t="shared" si="11"/>
      </c>
      <c r="Q5" s="71">
        <f t="shared" si="11"/>
      </c>
      <c r="R5" s="71">
        <f t="shared" si="11"/>
      </c>
      <c r="S5" s="103">
        <f t="shared" si="1"/>
        <v>75</v>
      </c>
      <c r="T5" s="112">
        <f>AB5-S5</f>
        <v>-15</v>
      </c>
      <c r="U5" s="262">
        <f t="shared" si="3"/>
        <v>84.987</v>
      </c>
      <c r="V5" s="207">
        <f t="shared" si="4"/>
        <v>4.161000000000001</v>
      </c>
      <c r="W5" s="113">
        <f t="shared" si="5"/>
        <v>-10</v>
      </c>
      <c r="X5" s="196">
        <f t="shared" si="6"/>
        <v>6</v>
      </c>
      <c r="Y5" s="196">
        <f t="shared" si="7"/>
        <v>10</v>
      </c>
      <c r="Z5" s="196">
        <f>IF($Y5="n/a","",_xlfn.IFERROR(COUNTIF($Y$2:$Y5,"="&amp;Y5),""))</f>
        <v>2</v>
      </c>
      <c r="AA5" s="196">
        <f>COUNTIF($X$2:X4,"&lt;"&amp;X5)</f>
        <v>1</v>
      </c>
      <c r="AB5" s="206">
        <f t="shared" si="8"/>
        <v>60</v>
      </c>
      <c r="AC5" s="346">
        <f t="shared" si="9"/>
        <v>50</v>
      </c>
      <c r="AE5" s="254" t="s">
        <v>50</v>
      </c>
      <c r="AF5" s="134" t="s">
        <v>74</v>
      </c>
      <c r="AG5" s="350">
        <v>0.0010619444444444444</v>
      </c>
    </row>
    <row r="6" spans="1:33" ht="12.75">
      <c r="A6" s="103">
        <v>88</v>
      </c>
      <c r="B6" s="114" t="s">
        <v>74</v>
      </c>
      <c r="C6" s="400" t="str">
        <f t="shared" si="10"/>
        <v>randy stagno navarra</v>
      </c>
      <c r="D6" s="345" t="s">
        <v>52</v>
      </c>
      <c r="E6" s="575" t="s">
        <v>386</v>
      </c>
      <c r="F6" s="172" t="s">
        <v>164</v>
      </c>
      <c r="G6" s="345" t="s">
        <v>175</v>
      </c>
      <c r="H6" s="402">
        <f t="shared" si="11"/>
      </c>
      <c r="I6" s="402">
        <f t="shared" si="11"/>
      </c>
      <c r="J6" s="402">
        <f t="shared" si="11"/>
      </c>
      <c r="K6" s="402">
        <f t="shared" si="11"/>
        <v>100</v>
      </c>
      <c r="L6" s="402">
        <f t="shared" si="11"/>
      </c>
      <c r="M6" s="402">
        <f t="shared" si="11"/>
      </c>
      <c r="N6" s="402">
        <f t="shared" si="11"/>
      </c>
      <c r="O6" s="402">
        <f t="shared" si="11"/>
      </c>
      <c r="P6" s="402">
        <f t="shared" si="11"/>
      </c>
      <c r="Q6" s="402">
        <f t="shared" si="11"/>
      </c>
      <c r="R6" s="402">
        <f t="shared" si="11"/>
      </c>
      <c r="S6" s="103">
        <f t="shared" si="1"/>
        <v>100</v>
      </c>
      <c r="T6" s="103">
        <f t="shared" si="2"/>
        <v>0</v>
      </c>
      <c r="U6" s="403">
        <f t="shared" si="3"/>
        <v>90.99000000000001</v>
      </c>
      <c r="V6" s="404">
        <f t="shared" si="4"/>
        <v>-1.1890000000000072</v>
      </c>
      <c r="W6" s="346">
        <f t="shared" si="5"/>
        <v>10</v>
      </c>
      <c r="X6" s="196">
        <f t="shared" si="6"/>
        <v>4</v>
      </c>
      <c r="Y6" s="196">
        <f t="shared" si="7"/>
        <v>8</v>
      </c>
      <c r="Z6" s="196">
        <f>IF($Y6="n/a","",_xlfn.IFERROR(COUNTIF($Y$2:$Y6,"="&amp;Y6),""))</f>
        <v>1</v>
      </c>
      <c r="AA6" s="196">
        <f>COUNTIF($X$2:X5,"&lt;"&amp;X6)</f>
        <v>0</v>
      </c>
      <c r="AB6" s="206">
        <f t="shared" si="8"/>
        <v>100</v>
      </c>
      <c r="AC6" s="346">
        <f t="shared" si="9"/>
        <v>110</v>
      </c>
      <c r="AE6" s="255" t="s">
        <v>22</v>
      </c>
      <c r="AF6" s="160" t="s">
        <v>76</v>
      </c>
      <c r="AG6" s="351">
        <v>0.0011213541666666665</v>
      </c>
    </row>
    <row r="7" spans="1:33" ht="12.75">
      <c r="A7" s="103">
        <v>50</v>
      </c>
      <c r="B7" s="400" t="s">
        <v>72</v>
      </c>
      <c r="C7" s="400" t="str">
        <f t="shared" si="10"/>
        <v>alan conrad</v>
      </c>
      <c r="D7" s="345" t="s">
        <v>52</v>
      </c>
      <c r="E7" s="578" t="s">
        <v>387</v>
      </c>
      <c r="F7" s="400"/>
      <c r="G7" s="345" t="s">
        <v>55</v>
      </c>
      <c r="H7" s="402">
        <f t="shared" si="11"/>
      </c>
      <c r="I7" s="402">
        <f t="shared" si="11"/>
      </c>
      <c r="J7" s="402">
        <f t="shared" si="11"/>
      </c>
      <c r="K7" s="402">
        <f t="shared" si="11"/>
        <v>75</v>
      </c>
      <c r="L7" s="402">
        <f t="shared" si="11"/>
      </c>
      <c r="M7" s="402">
        <f t="shared" si="11"/>
      </c>
      <c r="N7" s="402">
        <f t="shared" si="11"/>
      </c>
      <c r="O7" s="402">
        <f t="shared" si="11"/>
      </c>
      <c r="P7" s="402">
        <f t="shared" si="11"/>
      </c>
      <c r="Q7" s="402">
        <f t="shared" si="11"/>
      </c>
      <c r="R7" s="402">
        <f t="shared" si="11"/>
      </c>
      <c r="S7" s="103">
        <f t="shared" si="1"/>
        <v>75</v>
      </c>
      <c r="T7" s="103">
        <f t="shared" si="2"/>
        <v>0</v>
      </c>
      <c r="U7" s="403">
        <f t="shared" si="3"/>
        <v>90.99000000000001</v>
      </c>
      <c r="V7" s="404">
        <f t="shared" si="4"/>
        <v>0.3719999999999999</v>
      </c>
      <c r="W7" s="346">
        <f t="shared" si="5"/>
        <v>5</v>
      </c>
      <c r="X7" s="196">
        <f t="shared" si="6"/>
        <v>4</v>
      </c>
      <c r="Y7" s="196">
        <f t="shared" si="7"/>
        <v>8</v>
      </c>
      <c r="Z7" s="196">
        <f>IF($Y7="n/a","",_xlfn.IFERROR(COUNTIF($Y$2:$Y7,"="&amp;Y7),""))</f>
        <v>2</v>
      </c>
      <c r="AA7" s="196">
        <f>COUNTIF($X$2:X6,"&lt;"&amp;X7)</f>
        <v>0</v>
      </c>
      <c r="AB7" s="206">
        <f t="shared" si="8"/>
        <v>75</v>
      </c>
      <c r="AC7" s="346">
        <f t="shared" si="9"/>
        <v>80</v>
      </c>
      <c r="AE7" s="256" t="s">
        <v>21</v>
      </c>
      <c r="AF7" s="44" t="s">
        <v>425</v>
      </c>
      <c r="AG7" s="557">
        <v>0.0010919907407407408</v>
      </c>
    </row>
    <row r="8" spans="1:33" ht="12.75">
      <c r="A8" s="395">
        <v>21</v>
      </c>
      <c r="B8" s="396" t="s">
        <v>88</v>
      </c>
      <c r="C8" s="396" t="str">
        <f t="shared" si="10"/>
        <v>gavin newman</v>
      </c>
      <c r="D8" s="397" t="s">
        <v>51</v>
      </c>
      <c r="E8" s="573" t="s">
        <v>388</v>
      </c>
      <c r="F8" s="574" t="s">
        <v>164</v>
      </c>
      <c r="G8" s="397" t="s">
        <v>175</v>
      </c>
      <c r="H8" s="398">
        <f t="shared" si="11"/>
      </c>
      <c r="I8" s="398">
        <f t="shared" si="11"/>
      </c>
      <c r="J8" s="398">
        <f t="shared" si="11"/>
      </c>
      <c r="K8" s="398">
        <f t="shared" si="11"/>
      </c>
      <c r="L8" s="398">
        <f t="shared" si="11"/>
        <v>100</v>
      </c>
      <c r="M8" s="398">
        <f t="shared" si="11"/>
      </c>
      <c r="N8" s="398">
        <f t="shared" si="11"/>
      </c>
      <c r="O8" s="398">
        <f t="shared" si="11"/>
      </c>
      <c r="P8" s="398">
        <f t="shared" si="11"/>
      </c>
      <c r="Q8" s="398">
        <f t="shared" si="11"/>
      </c>
      <c r="R8" s="398">
        <f t="shared" si="11"/>
      </c>
      <c r="S8" s="103">
        <f t="shared" si="1"/>
        <v>100</v>
      </c>
      <c r="T8" s="395">
        <f>AB8-S8</f>
        <v>0</v>
      </c>
      <c r="U8" s="406">
        <f t="shared" si="3"/>
        <v>91.65199999999999</v>
      </c>
      <c r="V8" s="407">
        <f t="shared" si="4"/>
        <v>-0.20199999999998397</v>
      </c>
      <c r="W8" s="590">
        <f t="shared" si="5"/>
        <v>10</v>
      </c>
      <c r="X8" s="196">
        <f t="shared" si="6"/>
        <v>4</v>
      </c>
      <c r="Y8" s="196">
        <f t="shared" si="7"/>
        <v>7</v>
      </c>
      <c r="Z8" s="196">
        <f>IF($Y8="n/a","",_xlfn.IFERROR(COUNTIF($Y$2:$Y8,"="&amp;Y8),""))</f>
        <v>1</v>
      </c>
      <c r="AA8" s="196">
        <f>COUNTIF($X$2:X7,"&lt;"&amp;X8)</f>
        <v>0</v>
      </c>
      <c r="AB8" s="206">
        <f t="shared" si="8"/>
        <v>100</v>
      </c>
      <c r="AC8" s="346">
        <f>(S8+T8+W8)</f>
        <v>110</v>
      </c>
      <c r="AE8" s="257" t="s">
        <v>51</v>
      </c>
      <c r="AF8" s="352" t="s">
        <v>88</v>
      </c>
      <c r="AG8" s="558">
        <v>0.001060787037037037</v>
      </c>
    </row>
    <row r="9" spans="1:33" ht="12.75">
      <c r="A9" s="415">
        <v>5</v>
      </c>
      <c r="B9" s="135" t="s">
        <v>133</v>
      </c>
      <c r="C9" s="135" t="str">
        <f t="shared" si="10"/>
        <v>david adam</v>
      </c>
      <c r="D9" s="416" t="s">
        <v>50</v>
      </c>
      <c r="E9" s="579" t="s">
        <v>389</v>
      </c>
      <c r="F9" s="135"/>
      <c r="G9" s="416" t="s">
        <v>56</v>
      </c>
      <c r="H9" s="418">
        <f t="shared" si="11"/>
      </c>
      <c r="I9" s="418">
        <f t="shared" si="11"/>
      </c>
      <c r="J9" s="418">
        <f t="shared" si="11"/>
      </c>
      <c r="K9" s="418">
        <f t="shared" si="11"/>
      </c>
      <c r="L9" s="418">
        <f t="shared" si="11"/>
      </c>
      <c r="M9" s="418">
        <f t="shared" si="11"/>
      </c>
      <c r="N9" s="418">
        <f t="shared" si="11"/>
      </c>
      <c r="O9" s="418">
        <f t="shared" si="11"/>
        <v>100</v>
      </c>
      <c r="P9" s="418">
        <f t="shared" si="11"/>
      </c>
      <c r="Q9" s="418">
        <f t="shared" si="11"/>
      </c>
      <c r="R9" s="418">
        <f t="shared" si="11"/>
      </c>
      <c r="S9" s="103">
        <f t="shared" si="1"/>
        <v>100</v>
      </c>
      <c r="T9" s="415">
        <f>AB9-S9</f>
        <v>0</v>
      </c>
      <c r="U9" s="419">
        <f t="shared" si="3"/>
        <v>91.752</v>
      </c>
      <c r="V9" s="420">
        <f aca="true" t="shared" si="12" ref="V9:V26">(($E9*86400)-U9)</f>
        <v>0.555000000000021</v>
      </c>
      <c r="W9" s="591">
        <f aca="true" t="shared" si="13" ref="W9:W26">IF(V9&lt;=0,10,IF(V9&lt;1,5,IF(V9&lt;2,0,IF(V9&lt;3,-5,-10))))</f>
        <v>5</v>
      </c>
      <c r="X9" s="196">
        <f t="shared" si="6"/>
        <v>3</v>
      </c>
      <c r="Y9" s="196">
        <f t="shared" si="7"/>
        <v>6</v>
      </c>
      <c r="Z9" s="196">
        <f>IF($Y9="n/a","",_xlfn.IFERROR(COUNTIF($Y$2:$Y9,"="&amp;Y9),""))</f>
        <v>1</v>
      </c>
      <c r="AA9" s="196">
        <f>COUNTIF($X$2:X8,"&lt;"&amp;X9)</f>
        <v>0</v>
      </c>
      <c r="AB9" s="206">
        <f t="shared" si="8"/>
        <v>100</v>
      </c>
      <c r="AC9" s="346">
        <f>(S9+T9+W9)</f>
        <v>105</v>
      </c>
      <c r="AE9" s="258" t="s">
        <v>52</v>
      </c>
      <c r="AF9" s="353" t="s">
        <v>72</v>
      </c>
      <c r="AG9" s="354">
        <v>0.001053125</v>
      </c>
    </row>
    <row r="10" spans="1:33" ht="12.75">
      <c r="A10" s="348">
        <v>48</v>
      </c>
      <c r="B10" s="1" t="s">
        <v>390</v>
      </c>
      <c r="C10" s="1" t="str">
        <f t="shared" si="10"/>
        <v>justin reynolds</v>
      </c>
      <c r="D10" s="8" t="s">
        <v>26</v>
      </c>
      <c r="E10" s="11" t="s">
        <v>391</v>
      </c>
      <c r="F10" s="1"/>
      <c r="G10" s="8" t="s">
        <v>392</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3"/>
      </c>
      <c r="V10" s="209"/>
      <c r="W10" s="104"/>
      <c r="X10" s="196" t="str">
        <f t="shared" si="6"/>
        <v>n/a</v>
      </c>
      <c r="Y10" s="196" t="str">
        <f t="shared" si="7"/>
        <v>n/a</v>
      </c>
      <c r="Z10" s="196">
        <f>IF($Y10="n/a","",_xlfn.IFERROR(COUNTIF($Y$2:$Y10,"="&amp;Y10),""))</f>
      </c>
      <c r="AA10" s="196">
        <f>COUNTIF($X$2:X9,"&lt;"&amp;X10)</f>
        <v>0</v>
      </c>
      <c r="AB10" s="206">
        <f t="shared" si="8"/>
        <v>0</v>
      </c>
      <c r="AC10" s="346">
        <f>(S10+T10+W10)</f>
        <v>0</v>
      </c>
      <c r="AE10" s="259" t="s">
        <v>16</v>
      </c>
      <c r="AF10" s="355" t="s">
        <v>106</v>
      </c>
      <c r="AG10" s="356">
        <v>0.001024664351851852</v>
      </c>
    </row>
    <row r="11" spans="1:33" ht="12.75">
      <c r="A11" s="580">
        <v>2</v>
      </c>
      <c r="B11" s="581" t="s">
        <v>393</v>
      </c>
      <c r="C11" s="581" t="str">
        <f t="shared" si="10"/>
        <v>matt brogan</v>
      </c>
      <c r="D11" s="582" t="s">
        <v>4</v>
      </c>
      <c r="E11" s="583" t="s">
        <v>394</v>
      </c>
      <c r="F11" s="581"/>
      <c r="G11" s="582" t="s">
        <v>56</v>
      </c>
      <c r="H11" s="584">
        <f t="shared" si="11"/>
      </c>
      <c r="I11" s="584">
        <f t="shared" si="11"/>
      </c>
      <c r="J11" s="584">
        <f t="shared" si="11"/>
      </c>
      <c r="K11" s="584">
        <f t="shared" si="11"/>
      </c>
      <c r="L11" s="584">
        <f t="shared" si="11"/>
      </c>
      <c r="M11" s="584">
        <f t="shared" si="11"/>
      </c>
      <c r="N11" s="584">
        <f t="shared" si="11"/>
      </c>
      <c r="O11" s="584">
        <f t="shared" si="11"/>
      </c>
      <c r="P11" s="584">
        <f t="shared" si="11"/>
        <v>100</v>
      </c>
      <c r="Q11" s="584">
        <f t="shared" si="11"/>
      </c>
      <c r="R11" s="584">
        <f t="shared" si="11"/>
      </c>
      <c r="S11" s="103">
        <f t="shared" si="1"/>
        <v>100</v>
      </c>
      <c r="T11" s="580">
        <f>AB11-S11</f>
        <v>0</v>
      </c>
      <c r="U11" s="587">
        <f t="shared" si="3"/>
        <v>91.52799999999999</v>
      </c>
      <c r="V11" s="585">
        <f t="shared" si="12"/>
        <v>3.535000000000011</v>
      </c>
      <c r="W11" s="592">
        <f t="shared" si="13"/>
        <v>-10</v>
      </c>
      <c r="X11" s="196">
        <f t="shared" si="6"/>
        <v>3</v>
      </c>
      <c r="Y11" s="196">
        <f t="shared" si="7"/>
        <v>5</v>
      </c>
      <c r="Z11" s="196">
        <f>IF($Y11="n/a","",_xlfn.IFERROR(COUNTIF($Y$2:$Y11,"="&amp;Y11),""))</f>
        <v>1</v>
      </c>
      <c r="AA11" s="196">
        <f>COUNTIF($X$2:X10,"&lt;"&amp;X11)</f>
        <v>0</v>
      </c>
      <c r="AB11" s="206">
        <f t="shared" si="8"/>
        <v>100</v>
      </c>
      <c r="AC11" s="346">
        <f>(S11+T11+W11)</f>
        <v>90</v>
      </c>
      <c r="AE11" s="260" t="s">
        <v>13</v>
      </c>
      <c r="AF11" s="357" t="s">
        <v>82</v>
      </c>
      <c r="AG11" s="358">
        <v>0.0009836458333333333</v>
      </c>
    </row>
    <row r="12" spans="1:33" ht="13.5" thickBot="1">
      <c r="A12" s="107">
        <v>177</v>
      </c>
      <c r="B12" s="47" t="s">
        <v>78</v>
      </c>
      <c r="C12" s="47" t="str">
        <f t="shared" si="10"/>
        <v>simeon ouzas</v>
      </c>
      <c r="D12" s="48" t="s">
        <v>5</v>
      </c>
      <c r="E12" s="54" t="s">
        <v>395</v>
      </c>
      <c r="F12" s="47"/>
      <c r="G12" s="48" t="s">
        <v>56</v>
      </c>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3"/>
        <v>95.12</v>
      </c>
      <c r="V12" s="210">
        <f t="shared" si="12"/>
        <v>0.6460000000000008</v>
      </c>
      <c r="W12" s="108">
        <f t="shared" si="13"/>
        <v>5</v>
      </c>
      <c r="X12" s="196">
        <f t="shared" si="6"/>
        <v>1</v>
      </c>
      <c r="Y12" s="196">
        <f t="shared" si="7"/>
        <v>2</v>
      </c>
      <c r="Z12" s="196">
        <f>IF($Y12="n/a","",_xlfn.IFERROR(COUNTIF($Y$2:$Y12,"="&amp;Y12),""))</f>
        <v>1</v>
      </c>
      <c r="AA12" s="196">
        <f>COUNTIF($X$2:X11,"&lt;"&amp;X12)</f>
        <v>0</v>
      </c>
      <c r="AB12" s="206">
        <f t="shared" si="8"/>
        <v>100</v>
      </c>
      <c r="AC12" s="346">
        <f>(S12+T12+W12)</f>
        <v>105</v>
      </c>
      <c r="AE12" s="261" t="s">
        <v>14</v>
      </c>
      <c r="AF12" s="559" t="s">
        <v>426</v>
      </c>
      <c r="AG12" s="560">
        <v>0.0009611921296296297</v>
      </c>
    </row>
    <row r="13" spans="1:29" ht="12.75">
      <c r="A13" s="580">
        <v>26</v>
      </c>
      <c r="B13" s="581" t="s">
        <v>76</v>
      </c>
      <c r="C13" s="581" t="str">
        <f t="shared" si="10"/>
        <v>robert downes</v>
      </c>
      <c r="D13" s="582" t="s">
        <v>4</v>
      </c>
      <c r="E13" s="583" t="s">
        <v>396</v>
      </c>
      <c r="F13" s="581"/>
      <c r="G13" s="582" t="s">
        <v>175</v>
      </c>
      <c r="H13" s="584">
        <f t="shared" si="11"/>
      </c>
      <c r="I13" s="584">
        <f t="shared" si="11"/>
      </c>
      <c r="J13" s="584">
        <f t="shared" si="11"/>
      </c>
      <c r="K13" s="584">
        <f t="shared" si="11"/>
      </c>
      <c r="L13" s="584">
        <f t="shared" si="11"/>
      </c>
      <c r="M13" s="584">
        <f t="shared" si="11"/>
      </c>
      <c r="N13" s="584">
        <f t="shared" si="11"/>
      </c>
      <c r="O13" s="584">
        <f t="shared" si="11"/>
      </c>
      <c r="P13" s="584">
        <f t="shared" si="11"/>
        <v>75</v>
      </c>
      <c r="Q13" s="584">
        <f t="shared" si="11"/>
      </c>
      <c r="R13" s="584">
        <f t="shared" si="11"/>
      </c>
      <c r="S13" s="103">
        <f t="shared" si="1"/>
        <v>75</v>
      </c>
      <c r="T13" s="580">
        <f aca="true" t="shared" si="14" ref="T13:T19">AB13-S13</f>
        <v>0</v>
      </c>
      <c r="U13" s="587">
        <f t="shared" si="3"/>
        <v>91.52799999999999</v>
      </c>
      <c r="V13" s="585">
        <f t="shared" si="12"/>
        <v>4.450000000000017</v>
      </c>
      <c r="W13" s="592">
        <f t="shared" si="13"/>
        <v>-10</v>
      </c>
      <c r="X13" s="196">
        <f aca="true" t="shared" si="15" ref="X13:X19">_xlfn.IFERROR(VLOOKUP(D13,Class2018,4,0),"n/a")</f>
        <v>3</v>
      </c>
      <c r="Y13" s="196">
        <f aca="true" t="shared" si="16" ref="Y13:Y19">_xlfn.IFERROR(VLOOKUP(D13,Class2018,3,0),"n/a")</f>
        <v>5</v>
      </c>
      <c r="Z13" s="196">
        <f>IF($Y13="n/a","",_xlfn.IFERROR(COUNTIF($Y$2:$Y13,"="&amp;Y13),""))</f>
        <v>2</v>
      </c>
      <c r="AA13" s="196">
        <f>COUNTIF($X$2:X6,"&lt;"&amp;X13)</f>
        <v>0</v>
      </c>
      <c r="AB13" s="206">
        <f aca="true" t="shared" si="17" ref="AB13:AB19">IF($Y13="n/a",0,_xlfn.IFERROR(VLOOKUP(Z13+AA13,Points2018,2,0),15))</f>
        <v>75</v>
      </c>
      <c r="AC13" s="346">
        <f aca="true" t="shared" si="18" ref="AC13:AC19">(S13+T13+W13)</f>
        <v>65</v>
      </c>
    </row>
    <row r="14" spans="1:29" ht="12.75">
      <c r="A14" s="107">
        <v>82</v>
      </c>
      <c r="B14" s="56" t="s">
        <v>80</v>
      </c>
      <c r="C14" s="47" t="str">
        <f t="shared" si="10"/>
        <v>steve williamsz</v>
      </c>
      <c r="D14" s="48" t="s">
        <v>5</v>
      </c>
      <c r="E14" s="54" t="s">
        <v>397</v>
      </c>
      <c r="F14" s="47"/>
      <c r="G14" s="48" t="s">
        <v>56</v>
      </c>
      <c r="H14" s="250">
        <f t="shared" si="11"/>
      </c>
      <c r="I14" s="250">
        <f t="shared" si="11"/>
      </c>
      <c r="J14" s="250">
        <f aca="true" t="shared" si="19" ref="H14:R19">IF($D14=J$1,$S14,"")</f>
      </c>
      <c r="K14" s="250">
        <f t="shared" si="19"/>
      </c>
      <c r="L14" s="250">
        <f t="shared" si="19"/>
      </c>
      <c r="M14" s="250">
        <f t="shared" si="19"/>
      </c>
      <c r="N14" s="250">
        <f t="shared" si="19"/>
      </c>
      <c r="O14" s="250">
        <f t="shared" si="19"/>
      </c>
      <c r="P14" s="250">
        <f t="shared" si="19"/>
      </c>
      <c r="Q14" s="250">
        <f t="shared" si="19"/>
        <v>75</v>
      </c>
      <c r="R14" s="250">
        <f t="shared" si="19"/>
      </c>
      <c r="S14" s="103">
        <f t="shared" si="1"/>
        <v>75</v>
      </c>
      <c r="T14" s="107">
        <f t="shared" si="14"/>
        <v>0</v>
      </c>
      <c r="U14" s="215">
        <f t="shared" si="3"/>
        <v>95.12</v>
      </c>
      <c r="V14" s="210">
        <f t="shared" si="12"/>
        <v>0.9269999999999783</v>
      </c>
      <c r="W14" s="108">
        <f t="shared" si="13"/>
        <v>5</v>
      </c>
      <c r="X14" s="196">
        <f t="shared" si="15"/>
        <v>1</v>
      </c>
      <c r="Y14" s="196">
        <f t="shared" si="16"/>
        <v>2</v>
      </c>
      <c r="Z14" s="196">
        <f>IF($Y14="n/a","",_xlfn.IFERROR(COUNTIF($Y$2:$Y14,"="&amp;Y14),""))</f>
        <v>2</v>
      </c>
      <c r="AA14" s="196">
        <f>COUNTIF($X$2:X13,"&lt;"&amp;X14)</f>
        <v>0</v>
      </c>
      <c r="AB14" s="206">
        <f t="shared" si="17"/>
        <v>75</v>
      </c>
      <c r="AC14" s="346">
        <f t="shared" si="18"/>
        <v>80</v>
      </c>
    </row>
    <row r="15" spans="1:29" ht="12.75">
      <c r="A15" s="105">
        <v>62</v>
      </c>
      <c r="B15" s="35" t="s">
        <v>75</v>
      </c>
      <c r="C15" s="35" t="str">
        <f t="shared" si="10"/>
        <v>noel heritage</v>
      </c>
      <c r="D15" s="36" t="s">
        <v>21</v>
      </c>
      <c r="E15" s="321" t="s">
        <v>398</v>
      </c>
      <c r="F15" s="35"/>
      <c r="G15" s="36" t="s">
        <v>56</v>
      </c>
      <c r="H15" s="249">
        <f t="shared" si="19"/>
      </c>
      <c r="I15" s="249">
        <f t="shared" si="19"/>
      </c>
      <c r="J15" s="249">
        <f t="shared" si="19"/>
      </c>
      <c r="K15" s="249">
        <f t="shared" si="19"/>
      </c>
      <c r="L15" s="249">
        <f t="shared" si="19"/>
      </c>
      <c r="M15" s="249">
        <f t="shared" si="19"/>
        <v>100</v>
      </c>
      <c r="N15" s="249">
        <f t="shared" si="19"/>
      </c>
      <c r="O15" s="249">
        <f t="shared" si="19"/>
      </c>
      <c r="P15" s="249">
        <f t="shared" si="19"/>
      </c>
      <c r="Q15" s="249">
        <f t="shared" si="19"/>
      </c>
      <c r="R15" s="249">
        <f t="shared" si="19"/>
      </c>
      <c r="S15" s="103">
        <f t="shared" si="1"/>
        <v>100</v>
      </c>
      <c r="T15" s="105">
        <f>AB15-S15</f>
        <v>-40</v>
      </c>
      <c r="U15" s="214">
        <f t="shared" si="3"/>
        <v>94.34800000000001</v>
      </c>
      <c r="V15" s="208">
        <f t="shared" si="12"/>
        <v>1.7099999999999937</v>
      </c>
      <c r="W15" s="106">
        <f t="shared" si="13"/>
        <v>0</v>
      </c>
      <c r="X15" s="196">
        <f>_xlfn.IFERROR(VLOOKUP(D15,Class2018,4,0),"n/a")</f>
        <v>2</v>
      </c>
      <c r="Y15" s="196">
        <f>_xlfn.IFERROR(VLOOKUP(D15,Class2018,3,0),"n/a")</f>
        <v>4</v>
      </c>
      <c r="Z15" s="196">
        <f>IF($Y15="n/a","",_xlfn.IFERROR(COUNTIF($Y$2:$Y15,"="&amp;Y15),""))</f>
        <v>1</v>
      </c>
      <c r="AA15" s="196">
        <f>COUNTIF($X$2:X14,"&lt;"&amp;X15)</f>
        <v>2</v>
      </c>
      <c r="AB15" s="206">
        <f>IF($Y15="n/a",0,_xlfn.IFERROR(VLOOKUP(Z15+AA15,Points2018,2,0),15))</f>
        <v>60</v>
      </c>
      <c r="AC15" s="346">
        <f>(S15+T15+W15)</f>
        <v>60</v>
      </c>
    </row>
    <row r="16" spans="1:29" ht="12.75">
      <c r="A16" s="105">
        <v>141</v>
      </c>
      <c r="B16" s="35" t="s">
        <v>111</v>
      </c>
      <c r="C16" s="35" t="str">
        <f t="shared" si="10"/>
        <v>max lloyd</v>
      </c>
      <c r="D16" s="36" t="s">
        <v>21</v>
      </c>
      <c r="E16" s="321" t="s">
        <v>399</v>
      </c>
      <c r="F16" s="35"/>
      <c r="G16" s="36" t="s">
        <v>86</v>
      </c>
      <c r="H16" s="249">
        <f t="shared" si="19"/>
      </c>
      <c r="I16" s="249">
        <f t="shared" si="19"/>
      </c>
      <c r="J16" s="249">
        <f t="shared" si="19"/>
      </c>
      <c r="K16" s="249">
        <f t="shared" si="19"/>
      </c>
      <c r="L16" s="249">
        <f t="shared" si="19"/>
      </c>
      <c r="M16" s="249">
        <f t="shared" si="19"/>
        <v>75</v>
      </c>
      <c r="N16" s="249">
        <f t="shared" si="19"/>
      </c>
      <c r="O16" s="249">
        <f t="shared" si="19"/>
      </c>
      <c r="P16" s="249">
        <f t="shared" si="19"/>
      </c>
      <c r="Q16" s="249">
        <f t="shared" si="19"/>
      </c>
      <c r="R16" s="249">
        <f t="shared" si="19"/>
      </c>
      <c r="S16" s="103">
        <f t="shared" si="1"/>
        <v>75</v>
      </c>
      <c r="T16" s="105">
        <f t="shared" si="14"/>
        <v>-30</v>
      </c>
      <c r="U16" s="214">
        <f t="shared" si="3"/>
        <v>94.34800000000001</v>
      </c>
      <c r="V16" s="208">
        <f t="shared" si="12"/>
        <v>1.9799999999999756</v>
      </c>
      <c r="W16" s="106">
        <f t="shared" si="13"/>
        <v>0</v>
      </c>
      <c r="X16" s="196">
        <f t="shared" si="15"/>
        <v>2</v>
      </c>
      <c r="Y16" s="196">
        <f t="shared" si="16"/>
        <v>4</v>
      </c>
      <c r="Z16" s="196">
        <f>IF($Y16="n/a","",_xlfn.IFERROR(COUNTIF($Y$2:$Y16,"="&amp;Y16),""))</f>
        <v>2</v>
      </c>
      <c r="AA16" s="196">
        <f>COUNTIF($X$2:X14,"&lt;"&amp;X16)</f>
        <v>2</v>
      </c>
      <c r="AB16" s="206">
        <f t="shared" si="17"/>
        <v>45</v>
      </c>
      <c r="AC16" s="346">
        <f t="shared" si="18"/>
        <v>45</v>
      </c>
    </row>
    <row r="17" spans="1:29" ht="12.75">
      <c r="A17" s="580">
        <v>112</v>
      </c>
      <c r="B17" s="581" t="s">
        <v>174</v>
      </c>
      <c r="C17" s="581" t="str">
        <f t="shared" si="10"/>
        <v>ian vague</v>
      </c>
      <c r="D17" s="582" t="s">
        <v>4</v>
      </c>
      <c r="E17" s="583" t="s">
        <v>400</v>
      </c>
      <c r="F17" s="581"/>
      <c r="G17" s="582" t="s">
        <v>55</v>
      </c>
      <c r="H17" s="584">
        <f t="shared" si="19"/>
      </c>
      <c r="I17" s="584">
        <f t="shared" si="19"/>
      </c>
      <c r="J17" s="584">
        <f t="shared" si="19"/>
      </c>
      <c r="K17" s="584">
        <f t="shared" si="19"/>
      </c>
      <c r="L17" s="584">
        <f t="shared" si="19"/>
      </c>
      <c r="M17" s="584">
        <f t="shared" si="19"/>
      </c>
      <c r="N17" s="584">
        <f t="shared" si="19"/>
      </c>
      <c r="O17" s="584">
        <f t="shared" si="19"/>
      </c>
      <c r="P17" s="584">
        <f t="shared" si="19"/>
        <v>60</v>
      </c>
      <c r="Q17" s="584">
        <f t="shared" si="19"/>
      </c>
      <c r="R17" s="584">
        <f t="shared" si="19"/>
      </c>
      <c r="S17" s="103">
        <f t="shared" si="1"/>
        <v>60</v>
      </c>
      <c r="T17" s="580">
        <f t="shared" si="14"/>
        <v>-45</v>
      </c>
      <c r="U17" s="587">
        <f t="shared" si="3"/>
        <v>91.52799999999999</v>
      </c>
      <c r="V17" s="585">
        <f t="shared" si="12"/>
        <v>6.253999999999991</v>
      </c>
      <c r="W17" s="592">
        <f t="shared" si="13"/>
        <v>-10</v>
      </c>
      <c r="X17" s="196">
        <f t="shared" si="15"/>
        <v>3</v>
      </c>
      <c r="Y17" s="196">
        <f t="shared" si="16"/>
        <v>5</v>
      </c>
      <c r="Z17" s="196">
        <f>IF($Y17="n/a","",_xlfn.IFERROR(COUNTIF($Y$2:$Y17,"="&amp;Y17),""))</f>
        <v>3</v>
      </c>
      <c r="AA17" s="196">
        <f>COUNTIF($X$2:X16,"&lt;"&amp;X17)</f>
        <v>4</v>
      </c>
      <c r="AB17" s="206">
        <f t="shared" si="17"/>
        <v>15</v>
      </c>
      <c r="AC17" s="346">
        <f t="shared" si="18"/>
        <v>5</v>
      </c>
    </row>
    <row r="18" spans="1:29" ht="12.75">
      <c r="A18" s="105">
        <v>58</v>
      </c>
      <c r="B18" s="35" t="s">
        <v>401</v>
      </c>
      <c r="C18" s="35" t="str">
        <f t="shared" si="10"/>
        <v>murray seymour</v>
      </c>
      <c r="D18" s="36" t="s">
        <v>21</v>
      </c>
      <c r="E18" s="321" t="s">
        <v>402</v>
      </c>
      <c r="F18" s="35"/>
      <c r="G18" s="36" t="s">
        <v>56</v>
      </c>
      <c r="H18" s="249">
        <f t="shared" si="19"/>
      </c>
      <c r="I18" s="249">
        <f t="shared" si="19"/>
      </c>
      <c r="J18" s="249">
        <f t="shared" si="19"/>
      </c>
      <c r="K18" s="249">
        <f t="shared" si="19"/>
      </c>
      <c r="L18" s="249">
        <f t="shared" si="19"/>
      </c>
      <c r="M18" s="249">
        <f t="shared" si="19"/>
        <v>60</v>
      </c>
      <c r="N18" s="249">
        <f t="shared" si="19"/>
      </c>
      <c r="O18" s="249">
        <f t="shared" si="19"/>
      </c>
      <c r="P18" s="249">
        <f t="shared" si="19"/>
      </c>
      <c r="Q18" s="249">
        <f t="shared" si="19"/>
      </c>
      <c r="R18" s="249">
        <f t="shared" si="19"/>
      </c>
      <c r="S18" s="103">
        <f t="shared" si="1"/>
        <v>60</v>
      </c>
      <c r="T18" s="105">
        <f t="shared" si="14"/>
        <v>-30</v>
      </c>
      <c r="U18" s="214">
        <f t="shared" si="3"/>
        <v>94.34800000000001</v>
      </c>
      <c r="V18" s="208">
        <f>(($E18*86400)-U18)</f>
        <v>3.5449999999999875</v>
      </c>
      <c r="W18" s="106">
        <f>IF(V18&lt;=0,10,IF(V18&lt;1,5,IF(V18&lt;2,0,IF(V18&lt;3,-5,-10))))</f>
        <v>-10</v>
      </c>
      <c r="X18" s="196">
        <f t="shared" si="15"/>
        <v>2</v>
      </c>
      <c r="Y18" s="196">
        <f t="shared" si="16"/>
        <v>4</v>
      </c>
      <c r="Z18" s="196">
        <f>IF($Y18="n/a","",_xlfn.IFERROR(COUNTIF($Y$2:$Y18,"="&amp;Y18),""))</f>
        <v>3</v>
      </c>
      <c r="AA18" s="196">
        <f>COUNTIF($X$2:X17,"&lt;"&amp;X18)</f>
        <v>2</v>
      </c>
      <c r="AB18" s="206">
        <f t="shared" si="17"/>
        <v>30</v>
      </c>
      <c r="AC18" s="346">
        <f t="shared" si="18"/>
        <v>20</v>
      </c>
    </row>
    <row r="19" spans="1:29" ht="12.75">
      <c r="A19" s="395">
        <v>73</v>
      </c>
      <c r="B19" s="396" t="s">
        <v>197</v>
      </c>
      <c r="C19" s="396" t="str">
        <f t="shared" si="10"/>
        <v>jarrah pitt</v>
      </c>
      <c r="D19" s="397" t="s">
        <v>51</v>
      </c>
      <c r="E19" s="569" t="s">
        <v>403</v>
      </c>
      <c r="F19" s="396"/>
      <c r="G19" s="397" t="s">
        <v>86</v>
      </c>
      <c r="H19" s="398">
        <f t="shared" si="19"/>
      </c>
      <c r="I19" s="398">
        <f t="shared" si="19"/>
      </c>
      <c r="J19" s="398">
        <f t="shared" si="19"/>
      </c>
      <c r="K19" s="398">
        <f t="shared" si="19"/>
      </c>
      <c r="L19" s="398">
        <f t="shared" si="19"/>
        <v>75</v>
      </c>
      <c r="M19" s="398">
        <f t="shared" si="19"/>
      </c>
      <c r="N19" s="398">
        <f t="shared" si="19"/>
      </c>
      <c r="O19" s="398">
        <f t="shared" si="19"/>
      </c>
      <c r="P19" s="398">
        <f t="shared" si="19"/>
      </c>
      <c r="Q19" s="398">
        <f t="shared" si="19"/>
      </c>
      <c r="R19" s="398">
        <f t="shared" si="19"/>
      </c>
      <c r="S19" s="103">
        <f t="shared" si="1"/>
        <v>75</v>
      </c>
      <c r="T19" s="395">
        <f t="shared" si="14"/>
        <v>-60</v>
      </c>
      <c r="U19" s="406">
        <f t="shared" si="3"/>
        <v>91.65199999999999</v>
      </c>
      <c r="V19" s="407">
        <f t="shared" si="12"/>
        <v>6.575000000000003</v>
      </c>
      <c r="W19" s="590">
        <f t="shared" si="13"/>
        <v>-10</v>
      </c>
      <c r="X19" s="196">
        <f t="shared" si="15"/>
        <v>4</v>
      </c>
      <c r="Y19" s="196">
        <f t="shared" si="16"/>
        <v>7</v>
      </c>
      <c r="Z19" s="196">
        <f>IF($Y19="n/a","",_xlfn.IFERROR(COUNTIF($Y$2:$Y19,"="&amp;Y19),""))</f>
        <v>2</v>
      </c>
      <c r="AA19" s="196">
        <f>COUNTIF($X$2:X18,"&lt;"&amp;X19)</f>
        <v>9</v>
      </c>
      <c r="AB19" s="206">
        <f t="shared" si="17"/>
        <v>15</v>
      </c>
      <c r="AC19" s="346">
        <f t="shared" si="18"/>
        <v>5</v>
      </c>
    </row>
    <row r="20" spans="1:29" ht="12.75">
      <c r="A20" s="348">
        <v>53</v>
      </c>
      <c r="B20" s="1" t="s">
        <v>404</v>
      </c>
      <c r="C20" s="1" t="str">
        <f t="shared" si="10"/>
        <v>greg whyte</v>
      </c>
      <c r="D20" s="8" t="s">
        <v>26</v>
      </c>
      <c r="E20" s="11" t="s">
        <v>405</v>
      </c>
      <c r="F20" s="1"/>
      <c r="G20" s="8" t="s">
        <v>86</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48">
        <f t="shared" si="11"/>
      </c>
      <c r="S20" s="103">
        <f t="shared" si="1"/>
        <v>0</v>
      </c>
      <c r="T20" s="195">
        <f t="shared" si="2"/>
        <v>0</v>
      </c>
      <c r="U20" s="155">
        <f t="shared" si="3"/>
      </c>
      <c r="V20" s="209"/>
      <c r="W20" s="104"/>
      <c r="X20" s="196" t="str">
        <f t="shared" si="6"/>
        <v>n/a</v>
      </c>
      <c r="Y20" s="196" t="str">
        <f t="shared" si="7"/>
        <v>n/a</v>
      </c>
      <c r="Z20" s="196">
        <f>IF($Y20="n/a","",_xlfn.IFERROR(COUNTIF($Y$2:$Y20,"="&amp;Y20),""))</f>
      </c>
      <c r="AA20" s="196">
        <f>COUNTIF($X$2:X12,"&lt;"&amp;X20)</f>
        <v>0</v>
      </c>
      <c r="AB20" s="206">
        <f t="shared" si="8"/>
        <v>0</v>
      </c>
      <c r="AC20" s="346">
        <f t="shared" si="9"/>
        <v>0</v>
      </c>
    </row>
    <row r="21" spans="1:29" ht="12.75">
      <c r="A21" s="348">
        <v>242</v>
      </c>
      <c r="B21" s="1" t="s">
        <v>105</v>
      </c>
      <c r="C21" s="1" t="str">
        <f t="shared" si="10"/>
        <v>leon bogers</v>
      </c>
      <c r="D21" s="8" t="s">
        <v>26</v>
      </c>
      <c r="E21" s="11" t="s">
        <v>406</v>
      </c>
      <c r="F21" s="1"/>
      <c r="G21" s="8" t="s">
        <v>56</v>
      </c>
      <c r="H21" s="248">
        <f t="shared" si="11"/>
      </c>
      <c r="I21" s="248">
        <f t="shared" si="11"/>
      </c>
      <c r="J21" s="248">
        <f t="shared" si="11"/>
      </c>
      <c r="K21" s="248">
        <f t="shared" si="11"/>
      </c>
      <c r="L21" s="248">
        <f t="shared" si="11"/>
      </c>
      <c r="M21" s="248">
        <f t="shared" si="11"/>
      </c>
      <c r="N21" s="248">
        <f t="shared" si="11"/>
      </c>
      <c r="O21" s="248">
        <f t="shared" si="11"/>
      </c>
      <c r="P21" s="248">
        <f t="shared" si="11"/>
      </c>
      <c r="Q21" s="248">
        <f t="shared" si="11"/>
      </c>
      <c r="R21" s="248">
        <f t="shared" si="11"/>
      </c>
      <c r="S21" s="103">
        <f t="shared" si="1"/>
        <v>0</v>
      </c>
      <c r="T21" s="195">
        <f t="shared" si="2"/>
        <v>0</v>
      </c>
      <c r="U21" s="155">
        <f t="shared" si="3"/>
      </c>
      <c r="V21" s="209"/>
      <c r="W21" s="104"/>
      <c r="X21" s="196" t="str">
        <f t="shared" si="6"/>
        <v>n/a</v>
      </c>
      <c r="Y21" s="196" t="str">
        <f t="shared" si="7"/>
        <v>n/a</v>
      </c>
      <c r="Z21" s="196">
        <f>IF($Y21="n/a","",_xlfn.IFERROR(COUNTIF($Y$2:$Y21,"="&amp;Y21),""))</f>
      </c>
      <c r="AA21" s="196">
        <f>COUNTIF($X$2:X20,"&lt;"&amp;X21)</f>
        <v>0</v>
      </c>
      <c r="AB21" s="206">
        <f t="shared" si="8"/>
        <v>0</v>
      </c>
      <c r="AC21" s="346">
        <f t="shared" si="9"/>
        <v>0</v>
      </c>
    </row>
    <row r="22" spans="1:29" ht="12.75">
      <c r="A22" s="348">
        <v>20</v>
      </c>
      <c r="B22" s="1" t="s">
        <v>407</v>
      </c>
      <c r="C22" s="1" t="str">
        <f t="shared" si="10"/>
        <v>eden beavis</v>
      </c>
      <c r="D22" s="8" t="s">
        <v>26</v>
      </c>
      <c r="E22" s="11" t="s">
        <v>408</v>
      </c>
      <c r="F22" s="1"/>
      <c r="G22" s="8" t="s">
        <v>409</v>
      </c>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3"/>
      </c>
      <c r="V22" s="209"/>
      <c r="W22" s="104"/>
      <c r="X22" s="196" t="str">
        <f t="shared" si="6"/>
        <v>n/a</v>
      </c>
      <c r="Y22" s="196" t="str">
        <f t="shared" si="7"/>
        <v>n/a</v>
      </c>
      <c r="Z22" s="196">
        <f>IF($Y22="n/a","",_xlfn.IFERROR(COUNTIF($Y$2:$Y22,"="&amp;Y22),""))</f>
      </c>
      <c r="AA22" s="196">
        <f>COUNTIF($X$2:X21,"&lt;"&amp;X22)</f>
        <v>0</v>
      </c>
      <c r="AB22" s="206">
        <f t="shared" si="8"/>
        <v>0</v>
      </c>
      <c r="AC22" s="346">
        <f t="shared" si="9"/>
        <v>0</v>
      </c>
    </row>
    <row r="23" spans="1:29" ht="12.75">
      <c r="A23" s="348">
        <v>34</v>
      </c>
      <c r="B23" s="1" t="s">
        <v>410</v>
      </c>
      <c r="C23" s="1" t="str">
        <f t="shared" si="10"/>
        <v>tim van duyl</v>
      </c>
      <c r="D23" s="8" t="s">
        <v>26</v>
      </c>
      <c r="E23" s="11" t="s">
        <v>411</v>
      </c>
      <c r="F23" s="1"/>
      <c r="G23" s="8" t="s">
        <v>56</v>
      </c>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3"/>
      </c>
      <c r="V23" s="209"/>
      <c r="W23" s="104"/>
      <c r="X23" s="196" t="str">
        <f t="shared" si="6"/>
        <v>n/a</v>
      </c>
      <c r="Y23" s="196" t="str">
        <f t="shared" si="7"/>
        <v>n/a</v>
      </c>
      <c r="Z23" s="196">
        <f>IF($Y23="n/a","",_xlfn.IFERROR(COUNTIF($Y$2:$Y23,"="&amp;Y23),""))</f>
      </c>
      <c r="AA23" s="196">
        <f>COUNTIF($X$2:X22,"&lt;"&amp;X23)</f>
        <v>0</v>
      </c>
      <c r="AB23" s="206">
        <f t="shared" si="8"/>
        <v>0</v>
      </c>
      <c r="AC23" s="346">
        <f t="shared" si="9"/>
        <v>0</v>
      </c>
    </row>
    <row r="24" spans="1:29" ht="12.75">
      <c r="A24" s="107">
        <v>241</v>
      </c>
      <c r="B24" s="47" t="s">
        <v>79</v>
      </c>
      <c r="C24" s="47" t="str">
        <f t="shared" si="10"/>
        <v>john downes</v>
      </c>
      <c r="D24" s="48" t="s">
        <v>5</v>
      </c>
      <c r="E24" s="54" t="s">
        <v>412</v>
      </c>
      <c r="F24" s="47"/>
      <c r="G24" s="48" t="s">
        <v>55</v>
      </c>
      <c r="H24" s="250">
        <f t="shared" si="11"/>
      </c>
      <c r="I24" s="250">
        <f t="shared" si="11"/>
      </c>
      <c r="J24" s="250">
        <f t="shared" si="11"/>
      </c>
      <c r="K24" s="250">
        <f t="shared" si="11"/>
      </c>
      <c r="L24" s="250">
        <f t="shared" si="11"/>
      </c>
      <c r="M24" s="250">
        <f t="shared" si="11"/>
      </c>
      <c r="N24" s="250">
        <f t="shared" si="11"/>
      </c>
      <c r="O24" s="250">
        <f t="shared" si="11"/>
      </c>
      <c r="P24" s="250">
        <f t="shared" si="11"/>
      </c>
      <c r="Q24" s="250">
        <f t="shared" si="11"/>
        <v>60</v>
      </c>
      <c r="R24" s="250">
        <f t="shared" si="11"/>
      </c>
      <c r="S24" s="103">
        <f t="shared" si="1"/>
        <v>60</v>
      </c>
      <c r="T24" s="107">
        <f t="shared" si="2"/>
        <v>0</v>
      </c>
      <c r="U24" s="215">
        <f t="shared" si="3"/>
        <v>95.12</v>
      </c>
      <c r="V24" s="210">
        <f t="shared" si="12"/>
        <v>4.832999999999998</v>
      </c>
      <c r="W24" s="108">
        <f t="shared" si="13"/>
        <v>-10</v>
      </c>
      <c r="X24" s="196">
        <f t="shared" si="6"/>
        <v>1</v>
      </c>
      <c r="Y24" s="196">
        <f t="shared" si="7"/>
        <v>2</v>
      </c>
      <c r="Z24" s="196">
        <f>IF($Y24="n/a","",_xlfn.IFERROR(COUNTIF($Y$2:$Y24,"="&amp;Y24),""))</f>
        <v>3</v>
      </c>
      <c r="AA24" s="196">
        <f>COUNTIF($X$2:X23,"&lt;"&amp;X24)</f>
        <v>0</v>
      </c>
      <c r="AB24" s="206">
        <f t="shared" si="8"/>
        <v>60</v>
      </c>
      <c r="AC24" s="346">
        <f t="shared" si="9"/>
        <v>50</v>
      </c>
    </row>
    <row r="25" spans="1:29" ht="12.75">
      <c r="A25" s="570">
        <v>55</v>
      </c>
      <c r="B25" s="74" t="s">
        <v>180</v>
      </c>
      <c r="C25" s="74" t="str">
        <f t="shared" si="10"/>
        <v>kutay dal</v>
      </c>
      <c r="D25" s="421" t="s">
        <v>3</v>
      </c>
      <c r="E25" s="77" t="s">
        <v>413</v>
      </c>
      <c r="F25" s="74"/>
      <c r="G25" s="421" t="s">
        <v>414</v>
      </c>
      <c r="H25" s="571">
        <f t="shared" si="11"/>
      </c>
      <c r="I25" s="571">
        <f t="shared" si="11"/>
      </c>
      <c r="J25" s="571">
        <f t="shared" si="11"/>
      </c>
      <c r="K25" s="571">
        <f t="shared" si="11"/>
      </c>
      <c r="L25" s="571">
        <f t="shared" si="11"/>
      </c>
      <c r="M25" s="571">
        <f t="shared" si="11"/>
      </c>
      <c r="N25" s="571">
        <f t="shared" si="11"/>
      </c>
      <c r="O25" s="571">
        <f t="shared" si="11"/>
      </c>
      <c r="P25" s="571">
        <f t="shared" si="11"/>
      </c>
      <c r="Q25" s="571">
        <f t="shared" si="11"/>
      </c>
      <c r="R25" s="571">
        <f t="shared" si="11"/>
        <v>100</v>
      </c>
      <c r="S25" s="103">
        <f t="shared" si="1"/>
        <v>100</v>
      </c>
      <c r="T25" s="570">
        <f t="shared" si="2"/>
        <v>0</v>
      </c>
      <c r="U25" s="588">
        <f t="shared" si="3"/>
        <v>97.107</v>
      </c>
      <c r="V25" s="572">
        <f t="shared" si="12"/>
        <v>3.028000000000006</v>
      </c>
      <c r="W25" s="593">
        <f t="shared" si="13"/>
        <v>-10</v>
      </c>
      <c r="X25" s="196">
        <f t="shared" si="6"/>
        <v>1</v>
      </c>
      <c r="Y25" s="196">
        <f t="shared" si="7"/>
        <v>1</v>
      </c>
      <c r="Z25" s="196">
        <f>IF($Y25="n/a","",_xlfn.IFERROR(COUNTIF($Y$2:$Y25,"="&amp;Y25),""))</f>
        <v>1</v>
      </c>
      <c r="AA25" s="196">
        <f>COUNTIF($X$2:X24,"&lt;"&amp;X25)</f>
        <v>0</v>
      </c>
      <c r="AB25" s="206">
        <f t="shared" si="8"/>
        <v>100</v>
      </c>
      <c r="AC25" s="346">
        <f t="shared" si="9"/>
        <v>90</v>
      </c>
    </row>
    <row r="26" spans="1:29" ht="12.75">
      <c r="A26" s="107">
        <v>35</v>
      </c>
      <c r="B26" s="47" t="s">
        <v>112</v>
      </c>
      <c r="C26" s="47" t="str">
        <f t="shared" si="10"/>
        <v>matthew cavell</v>
      </c>
      <c r="D26" s="48" t="s">
        <v>5</v>
      </c>
      <c r="E26" s="54" t="s">
        <v>415</v>
      </c>
      <c r="F26" s="47"/>
      <c r="G26" s="48" t="s">
        <v>56</v>
      </c>
      <c r="H26" s="250">
        <f t="shared" si="11"/>
      </c>
      <c r="I26" s="250">
        <f t="shared" si="11"/>
      </c>
      <c r="J26" s="250">
        <f t="shared" si="11"/>
      </c>
      <c r="K26" s="250">
        <f t="shared" si="11"/>
      </c>
      <c r="L26" s="250">
        <f t="shared" si="11"/>
      </c>
      <c r="M26" s="250">
        <f t="shared" si="11"/>
      </c>
      <c r="N26" s="250">
        <f t="shared" si="11"/>
      </c>
      <c r="O26" s="250">
        <f t="shared" si="11"/>
      </c>
      <c r="P26" s="250">
        <f t="shared" si="11"/>
      </c>
      <c r="Q26" s="250">
        <f t="shared" si="11"/>
        <v>45</v>
      </c>
      <c r="R26" s="250">
        <f t="shared" si="11"/>
      </c>
      <c r="S26" s="103">
        <f t="shared" si="1"/>
        <v>45</v>
      </c>
      <c r="T26" s="107">
        <f t="shared" si="2"/>
        <v>0</v>
      </c>
      <c r="U26" s="215">
        <f t="shared" si="3"/>
        <v>95.12</v>
      </c>
      <c r="V26" s="210">
        <f t="shared" si="12"/>
        <v>5.403000000000006</v>
      </c>
      <c r="W26" s="108">
        <f t="shared" si="13"/>
        <v>-10</v>
      </c>
      <c r="X26" s="196">
        <f t="shared" si="6"/>
        <v>1</v>
      </c>
      <c r="Y26" s="196">
        <f t="shared" si="7"/>
        <v>2</v>
      </c>
      <c r="Z26" s="196">
        <f>IF($Y26="n/a","",_xlfn.IFERROR(COUNTIF($Y$2:$Y26,"="&amp;Y26),""))</f>
        <v>4</v>
      </c>
      <c r="AA26" s="196">
        <f>COUNTIF($X$2:X25,"&lt;"&amp;X26)</f>
        <v>0</v>
      </c>
      <c r="AB26" s="206">
        <f t="shared" si="8"/>
        <v>45</v>
      </c>
      <c r="AC26" s="346">
        <f t="shared" si="9"/>
        <v>35</v>
      </c>
    </row>
    <row r="27" spans="1:29" ht="12.75">
      <c r="A27" s="348">
        <v>122</v>
      </c>
      <c r="B27" s="1" t="s">
        <v>109</v>
      </c>
      <c r="C27" s="1" t="str">
        <f t="shared" si="10"/>
        <v>peter whitaker</v>
      </c>
      <c r="D27" s="8" t="s">
        <v>26</v>
      </c>
      <c r="E27" s="11" t="s">
        <v>416</v>
      </c>
      <c r="F27" s="1"/>
      <c r="G27" s="8" t="s">
        <v>56</v>
      </c>
      <c r="H27" s="248">
        <f t="shared" si="11"/>
      </c>
      <c r="I27" s="248">
        <f t="shared" si="11"/>
      </c>
      <c r="J27" s="248">
        <f t="shared" si="11"/>
      </c>
      <c r="K27" s="248">
        <f t="shared" si="11"/>
      </c>
      <c r="L27" s="248">
        <f t="shared" si="11"/>
      </c>
      <c r="M27" s="248">
        <f t="shared" si="11"/>
      </c>
      <c r="N27" s="248">
        <f t="shared" si="11"/>
      </c>
      <c r="O27" s="248">
        <f t="shared" si="11"/>
      </c>
      <c r="P27" s="248">
        <f t="shared" si="11"/>
      </c>
      <c r="Q27" s="248">
        <f t="shared" si="11"/>
      </c>
      <c r="R27" s="248">
        <f t="shared" si="11"/>
      </c>
      <c r="S27" s="103">
        <f t="shared" si="1"/>
        <v>0</v>
      </c>
      <c r="T27" s="195">
        <f t="shared" si="2"/>
        <v>0</v>
      </c>
      <c r="U27" s="155">
        <f t="shared" si="3"/>
      </c>
      <c r="V27" s="209"/>
      <c r="W27" s="104"/>
      <c r="X27" s="196" t="str">
        <f t="shared" si="6"/>
        <v>n/a</v>
      </c>
      <c r="Y27" s="196" t="str">
        <f t="shared" si="7"/>
        <v>n/a</v>
      </c>
      <c r="Z27" s="196">
        <f>IF($Y27="n/a","",_xlfn.IFERROR(COUNTIF($Y$2:$Y27,"="&amp;Y27),""))</f>
      </c>
      <c r="AA27" s="196">
        <f>COUNTIF($X$2:X26,"&lt;"&amp;X27)</f>
        <v>0</v>
      </c>
      <c r="AB27" s="206">
        <f t="shared" si="8"/>
        <v>0</v>
      </c>
      <c r="AC27" s="346">
        <f t="shared" si="9"/>
        <v>0</v>
      </c>
    </row>
    <row r="28" spans="1:29" ht="12.75">
      <c r="A28" s="348">
        <v>19</v>
      </c>
      <c r="B28" s="1" t="s">
        <v>417</v>
      </c>
      <c r="C28" s="1" t="str">
        <f t="shared" si="10"/>
        <v>simon acfield</v>
      </c>
      <c r="D28" s="8" t="s">
        <v>26</v>
      </c>
      <c r="E28" s="11" t="s">
        <v>418</v>
      </c>
      <c r="F28" s="1"/>
      <c r="G28" s="8" t="s">
        <v>56</v>
      </c>
      <c r="H28" s="248">
        <f t="shared" si="11"/>
      </c>
      <c r="I28" s="248">
        <f t="shared" si="11"/>
      </c>
      <c r="J28" s="248">
        <f t="shared" si="11"/>
      </c>
      <c r="K28" s="248">
        <f t="shared" si="11"/>
      </c>
      <c r="L28" s="248">
        <f t="shared" si="11"/>
      </c>
      <c r="M28" s="248">
        <f t="shared" si="11"/>
      </c>
      <c r="N28" s="248">
        <f t="shared" si="11"/>
      </c>
      <c r="O28" s="248">
        <f t="shared" si="11"/>
      </c>
      <c r="P28" s="248">
        <f t="shared" si="11"/>
      </c>
      <c r="Q28" s="248">
        <f t="shared" si="11"/>
      </c>
      <c r="R28" s="248">
        <f t="shared" si="11"/>
      </c>
      <c r="S28" s="103">
        <f t="shared" si="1"/>
        <v>0</v>
      </c>
      <c r="T28" s="195">
        <f t="shared" si="2"/>
        <v>0</v>
      </c>
      <c r="U28" s="155">
        <f t="shared" si="3"/>
      </c>
      <c r="V28" s="209"/>
      <c r="W28" s="104"/>
      <c r="X28" s="196" t="str">
        <f t="shared" si="6"/>
        <v>n/a</v>
      </c>
      <c r="Y28" s="196" t="str">
        <f t="shared" si="7"/>
        <v>n/a</v>
      </c>
      <c r="Z28" s="196">
        <f>IF($Y28="n/a","",_xlfn.IFERROR(COUNTIF($Y$2:$Y28,"="&amp;Y28),""))</f>
      </c>
      <c r="AA28" s="196">
        <f>COUNTIF($X$2:X27,"&lt;"&amp;X28)</f>
        <v>0</v>
      </c>
      <c r="AB28" s="206">
        <f t="shared" si="8"/>
        <v>0</v>
      </c>
      <c r="AC28" s="346">
        <f t="shared" si="9"/>
        <v>0</v>
      </c>
    </row>
    <row r="29" spans="1:29" ht="12.75">
      <c r="A29" s="348">
        <v>15</v>
      </c>
      <c r="B29" s="1" t="s">
        <v>419</v>
      </c>
      <c r="C29" s="1" t="str">
        <f t="shared" si="10"/>
        <v>travis abreu</v>
      </c>
      <c r="D29" s="8" t="s">
        <v>26</v>
      </c>
      <c r="E29" s="11" t="s">
        <v>420</v>
      </c>
      <c r="F29" s="1"/>
      <c r="G29" s="8" t="s">
        <v>414</v>
      </c>
      <c r="H29" s="248">
        <f t="shared" si="11"/>
      </c>
      <c r="I29" s="248">
        <f t="shared" si="11"/>
      </c>
      <c r="J29" s="248">
        <f t="shared" si="11"/>
      </c>
      <c r="K29" s="248">
        <f t="shared" si="11"/>
      </c>
      <c r="L29" s="248">
        <f t="shared" si="11"/>
      </c>
      <c r="M29" s="248">
        <f t="shared" si="11"/>
      </c>
      <c r="N29" s="248">
        <f t="shared" si="11"/>
      </c>
      <c r="O29" s="248">
        <f t="shared" si="11"/>
      </c>
      <c r="P29" s="248">
        <f t="shared" si="11"/>
      </c>
      <c r="Q29" s="248">
        <f t="shared" si="11"/>
      </c>
      <c r="R29" s="248">
        <f t="shared" si="11"/>
      </c>
      <c r="S29" s="103">
        <f t="shared" si="1"/>
        <v>0</v>
      </c>
      <c r="T29" s="195">
        <f t="shared" si="2"/>
        <v>0</v>
      </c>
      <c r="U29" s="155">
        <f t="shared" si="3"/>
      </c>
      <c r="V29" s="209"/>
      <c r="W29" s="104"/>
      <c r="X29" s="196" t="str">
        <f t="shared" si="6"/>
        <v>n/a</v>
      </c>
      <c r="Y29" s="196" t="str">
        <f t="shared" si="7"/>
        <v>n/a</v>
      </c>
      <c r="Z29" s="196">
        <f>IF($Y29="n/a","",_xlfn.IFERROR(COUNTIF($Y$2:$Y29,"="&amp;Y29),""))</f>
      </c>
      <c r="AA29" s="196">
        <f>COUNTIF($X$2:X28,"&lt;"&amp;X29)</f>
        <v>0</v>
      </c>
      <c r="AB29" s="206">
        <f t="shared" si="8"/>
        <v>0</v>
      </c>
      <c r="AC29" s="346">
        <f t="shared" si="9"/>
        <v>0</v>
      </c>
    </row>
    <row r="30" spans="1:29" ht="12.75" thickBot="1">
      <c r="A30" s="362">
        <v>37</v>
      </c>
      <c r="B30" s="272" t="s">
        <v>421</v>
      </c>
      <c r="C30" s="272" t="str">
        <f t="shared" si="10"/>
        <v>michael williams</v>
      </c>
      <c r="D30" s="361" t="s">
        <v>26</v>
      </c>
      <c r="E30" s="331" t="s">
        <v>422</v>
      </c>
      <c r="F30" s="272"/>
      <c r="G30" s="361" t="s">
        <v>175</v>
      </c>
      <c r="H30" s="285">
        <f t="shared" si="11"/>
      </c>
      <c r="I30" s="285">
        <f t="shared" si="11"/>
      </c>
      <c r="J30" s="285">
        <f t="shared" si="11"/>
      </c>
      <c r="K30" s="285">
        <f t="shared" si="11"/>
      </c>
      <c r="L30" s="285">
        <f t="shared" si="11"/>
      </c>
      <c r="M30" s="285">
        <f t="shared" si="11"/>
      </c>
      <c r="N30" s="285">
        <f t="shared" si="11"/>
      </c>
      <c r="O30" s="285">
        <f t="shared" si="11"/>
      </c>
      <c r="P30" s="285">
        <f t="shared" si="11"/>
      </c>
      <c r="Q30" s="285">
        <f t="shared" si="11"/>
      </c>
      <c r="R30" s="285">
        <f t="shared" si="11"/>
      </c>
      <c r="S30" s="586">
        <f t="shared" si="1"/>
        <v>0</v>
      </c>
      <c r="T30" s="201">
        <f t="shared" si="2"/>
        <v>0</v>
      </c>
      <c r="U30" s="162">
        <f t="shared" si="3"/>
      </c>
      <c r="V30" s="271"/>
      <c r="W30" s="176"/>
      <c r="X30" s="441" t="str">
        <f t="shared" si="6"/>
        <v>n/a</v>
      </c>
      <c r="Y30" s="441" t="str">
        <f t="shared" si="7"/>
        <v>n/a</v>
      </c>
      <c r="Z30" s="441">
        <f>IF($Y30="n/a","",_xlfn.IFERROR(COUNTIF($Y$2:$Y30,"="&amp;Y30),""))</f>
      </c>
      <c r="AA30" s="441">
        <f>COUNTIF($X$2:X29,"&lt;"&amp;X30)</f>
        <v>0</v>
      </c>
      <c r="AB30" s="442">
        <f t="shared" si="8"/>
        <v>0</v>
      </c>
      <c r="AC30" s="481">
        <f t="shared" si="9"/>
        <v>0</v>
      </c>
    </row>
    <row r="31" spans="6:29" ht="12.75" thickBot="1">
      <c r="F31" s="175"/>
      <c r="G31" s="177" t="s">
        <v>27</v>
      </c>
      <c r="H31" s="178">
        <f aca="true" t="shared" si="20" ref="H31:S31">COUNT(H2:H30)</f>
        <v>1</v>
      </c>
      <c r="I31" s="178">
        <f t="shared" si="20"/>
        <v>2</v>
      </c>
      <c r="J31" s="178">
        <f t="shared" si="20"/>
        <v>1</v>
      </c>
      <c r="K31" s="178">
        <f t="shared" si="20"/>
        <v>2</v>
      </c>
      <c r="L31" s="178">
        <f t="shared" si="20"/>
        <v>2</v>
      </c>
      <c r="M31" s="178">
        <f t="shared" si="20"/>
        <v>3</v>
      </c>
      <c r="N31" s="178">
        <f t="shared" si="20"/>
        <v>0</v>
      </c>
      <c r="O31" s="178">
        <f t="shared" si="20"/>
        <v>1</v>
      </c>
      <c r="P31" s="178">
        <f t="shared" si="20"/>
        <v>3</v>
      </c>
      <c r="Q31" s="178">
        <f t="shared" si="20"/>
        <v>4</v>
      </c>
      <c r="R31" s="178">
        <f t="shared" si="20"/>
        <v>1</v>
      </c>
      <c r="S31" s="316">
        <f t="shared" si="20"/>
        <v>29</v>
      </c>
      <c r="T31" s="216"/>
      <c r="U31" s="216"/>
      <c r="V31" s="204"/>
      <c r="W31" s="216"/>
      <c r="X31" s="216"/>
      <c r="Y31" s="216"/>
      <c r="Z31" s="216"/>
      <c r="AA31" s="216"/>
      <c r="AB31" s="216"/>
      <c r="AC31" s="216"/>
    </row>
    <row r="32" spans="20:29" ht="12.75">
      <c r="T32" s="8"/>
      <c r="U32" s="1"/>
      <c r="V32" s="204"/>
      <c r="W32" s="1"/>
      <c r="X32" s="8"/>
      <c r="Y32" s="8"/>
      <c r="Z32" s="8"/>
      <c r="AA32" s="8"/>
      <c r="AB32" s="8"/>
      <c r="AC32" s="1"/>
    </row>
    <row r="33" spans="2:28" ht="12.75">
      <c r="B33" s="2"/>
      <c r="C33" s="2"/>
      <c r="D33" s="111"/>
      <c r="T33" s="111"/>
      <c r="X33" s="111"/>
      <c r="Y33" s="111"/>
      <c r="Z33" s="111"/>
      <c r="AA33" s="111"/>
      <c r="AB3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24" t="s">
        <v>108</v>
      </c>
      <c r="AF1" s="625"/>
      <c r="AG1" s="626"/>
    </row>
    <row r="2" spans="1:33" ht="12.75">
      <c r="A2" s="169">
        <v>6</v>
      </c>
      <c r="B2" s="170" t="s">
        <v>106</v>
      </c>
      <c r="C2" s="170" t="str">
        <f>LOWER(B2)</f>
        <v>russell garner</v>
      </c>
      <c r="D2" s="385" t="s">
        <v>16</v>
      </c>
      <c r="E2" s="615" t="s">
        <v>433</v>
      </c>
      <c r="F2" s="604" t="s">
        <v>164</v>
      </c>
      <c r="G2" s="385" t="s">
        <v>166</v>
      </c>
      <c r="H2" s="263">
        <f>IF($D2=H$1,$S2,"")</f>
      </c>
      <c r="I2" s="263">
        <f aca="true" t="shared" si="0" ref="I2:R2">IF($D2=I$1,$S2,"")</f>
      </c>
      <c r="J2" s="263">
        <f t="shared" si="0"/>
        <v>100</v>
      </c>
      <c r="K2" s="263">
        <f t="shared" si="0"/>
      </c>
      <c r="L2" s="263">
        <f t="shared" si="0"/>
      </c>
      <c r="M2" s="263">
        <f t="shared" si="0"/>
      </c>
      <c r="N2" s="263">
        <f t="shared" si="0"/>
      </c>
      <c r="O2" s="263">
        <f t="shared" si="0"/>
      </c>
      <c r="P2" s="263">
        <f t="shared" si="0"/>
      </c>
      <c r="Q2" s="263">
        <f t="shared" si="0"/>
      </c>
      <c r="R2" s="263">
        <f t="shared" si="0"/>
      </c>
      <c r="S2" s="168">
        <f aca="true" t="shared" si="1" ref="S2:S16">_xlfn.IFERROR(VLOOKUP($Z2,Points2018,2,0),0)</f>
        <v>100</v>
      </c>
      <c r="T2" s="169">
        <f aca="true" t="shared" si="2" ref="T2:T7">AB2-S2</f>
        <v>0</v>
      </c>
      <c r="U2" s="264">
        <f aca="true" t="shared" si="3" ref="U2:U16">_xlfn.IFERROR(VLOOKUP(D2,BenchmarksRd4,3,0)*86400,"")</f>
        <v>66.82499999999999</v>
      </c>
      <c r="V2" s="265">
        <f aca="true" t="shared" si="4" ref="V2:V15">(($E2*86400)-U2)</f>
        <v>-0.19999999999998863</v>
      </c>
      <c r="W2" s="171">
        <f aca="true" t="shared" si="5" ref="W2:W15">IF(V2&lt;=0,10,IF(V2&lt;1,5,IF(V2&lt;2,0,IF(V2&lt;3,-5,-10))))</f>
        <v>10</v>
      </c>
      <c r="X2" s="217">
        <f aca="true" t="shared" si="6" ref="X2:X16">_xlfn.IFERROR(VLOOKUP(D2,Class2018,4,0),"n/a")</f>
        <v>5</v>
      </c>
      <c r="Y2" s="217">
        <f aca="true" t="shared" si="7" ref="Y2:Y16">_xlfn.IFERROR(VLOOKUP(D2,Class2018,3,0),"n/a")</f>
        <v>9</v>
      </c>
      <c r="Z2" s="217">
        <f>IF($Y2="n/a","",_xlfn.IFERROR(COUNTIF($Y$2:$Y2,"="&amp;Y2),""))</f>
        <v>1</v>
      </c>
      <c r="AA2" s="217">
        <f>COUNTIF($X1:X$2,"&lt;"&amp;X2)</f>
        <v>0</v>
      </c>
      <c r="AB2" s="247">
        <f aca="true" t="shared" si="8" ref="AB2:AB16">IF($Y2="n/a",0,_xlfn.IFERROR(VLOOKUP(Z2+AA2,Points2018,2,0),15))</f>
        <v>100</v>
      </c>
      <c r="AC2" s="480">
        <f aca="true" t="shared" si="9" ref="AC2:AC7">(S2+T2+W2)</f>
        <v>110</v>
      </c>
      <c r="AE2" s="251" t="s">
        <v>3</v>
      </c>
      <c r="AF2" s="426" t="s">
        <v>76</v>
      </c>
      <c r="AG2" s="427">
        <v>0.0008543518518518518</v>
      </c>
    </row>
    <row r="3" spans="1:33" ht="12.75">
      <c r="A3" s="103">
        <v>50</v>
      </c>
      <c r="B3" s="400" t="s">
        <v>72</v>
      </c>
      <c r="C3" s="400" t="str">
        <f aca="true" t="shared" si="10" ref="C3:C16">LOWER(B3)</f>
        <v>alan conrad</v>
      </c>
      <c r="D3" s="345" t="s">
        <v>52</v>
      </c>
      <c r="E3" s="616" t="s">
        <v>434</v>
      </c>
      <c r="F3" s="172" t="s">
        <v>164</v>
      </c>
      <c r="G3" s="345" t="s">
        <v>165</v>
      </c>
      <c r="H3" s="402">
        <f aca="true" t="shared" si="11" ref="H3:R16">IF($D3=H$1,$S3,"")</f>
      </c>
      <c r="I3" s="402">
        <f t="shared" si="11"/>
      </c>
      <c r="J3" s="402">
        <f t="shared" si="11"/>
      </c>
      <c r="K3" s="402">
        <f t="shared" si="11"/>
        <v>100</v>
      </c>
      <c r="L3" s="402">
        <f t="shared" si="11"/>
      </c>
      <c r="M3" s="402">
        <f t="shared" si="11"/>
      </c>
      <c r="N3" s="402">
        <f t="shared" si="11"/>
      </c>
      <c r="O3" s="402">
        <f t="shared" si="11"/>
      </c>
      <c r="P3" s="402">
        <f t="shared" si="11"/>
      </c>
      <c r="Q3" s="402">
        <f t="shared" si="11"/>
      </c>
      <c r="R3" s="402">
        <f t="shared" si="11"/>
      </c>
      <c r="S3" s="103">
        <f t="shared" si="1"/>
        <v>100</v>
      </c>
      <c r="T3" s="103">
        <f t="shared" si="2"/>
        <v>0</v>
      </c>
      <c r="U3" s="403">
        <f t="shared" si="3"/>
        <v>70.68599999999999</v>
      </c>
      <c r="V3" s="404">
        <f t="shared" si="4"/>
        <v>-1.5960000000000036</v>
      </c>
      <c r="W3" s="346">
        <f t="shared" si="5"/>
        <v>10</v>
      </c>
      <c r="X3" s="196">
        <f t="shared" si="6"/>
        <v>4</v>
      </c>
      <c r="Y3" s="196">
        <f t="shared" si="7"/>
        <v>8</v>
      </c>
      <c r="Z3" s="196">
        <f>IF($Y3="n/a","",_xlfn.IFERROR(COUNTIF($Y$2:$Y3,"="&amp;Y3),""))</f>
        <v>1</v>
      </c>
      <c r="AA3" s="196">
        <f>COUNTIF($X2:X$2,"&lt;"&amp;X3)</f>
        <v>0</v>
      </c>
      <c r="AB3" s="206">
        <f t="shared" si="8"/>
        <v>100</v>
      </c>
      <c r="AC3" s="346">
        <f t="shared" si="9"/>
        <v>110</v>
      </c>
      <c r="AE3" s="252" t="s">
        <v>5</v>
      </c>
      <c r="AF3" s="347" t="s">
        <v>451</v>
      </c>
      <c r="AG3" s="556">
        <v>0.0008528356481481481</v>
      </c>
    </row>
    <row r="4" spans="1:33" ht="12.75">
      <c r="A4" s="195">
        <v>100</v>
      </c>
      <c r="B4" s="5" t="s">
        <v>435</v>
      </c>
      <c r="C4" s="5" t="str">
        <f t="shared" si="10"/>
        <v>steve schreck</v>
      </c>
      <c r="D4" s="12" t="s">
        <v>26</v>
      </c>
      <c r="E4" s="7" t="s">
        <v>436</v>
      </c>
      <c r="F4" s="5"/>
      <c r="G4" s="12" t="s">
        <v>166</v>
      </c>
      <c r="H4" s="248">
        <f t="shared" si="11"/>
      </c>
      <c r="I4" s="248">
        <f t="shared" si="11"/>
      </c>
      <c r="J4" s="248">
        <f t="shared" si="11"/>
      </c>
      <c r="K4" s="248">
        <f t="shared" si="11"/>
      </c>
      <c r="L4" s="248">
        <f t="shared" si="11"/>
      </c>
      <c r="M4" s="248">
        <f t="shared" si="11"/>
      </c>
      <c r="N4" s="248">
        <f t="shared" si="11"/>
      </c>
      <c r="O4" s="248">
        <f t="shared" si="11"/>
      </c>
      <c r="P4" s="248">
        <f t="shared" si="11"/>
      </c>
      <c r="Q4" s="248">
        <f t="shared" si="11"/>
      </c>
      <c r="R4" s="248">
        <f t="shared" si="11"/>
      </c>
      <c r="S4" s="103">
        <f t="shared" si="1"/>
        <v>0</v>
      </c>
      <c r="T4" s="195">
        <f>AB4-S4</f>
        <v>0</v>
      </c>
      <c r="U4" s="155">
        <f t="shared" si="3"/>
      </c>
      <c r="V4" s="209"/>
      <c r="W4" s="104"/>
      <c r="X4" s="196" t="str">
        <f t="shared" si="6"/>
        <v>n/a</v>
      </c>
      <c r="Y4" s="196" t="str">
        <f t="shared" si="7"/>
        <v>n/a</v>
      </c>
      <c r="Z4" s="196">
        <f>IF($Y4="n/a","",_xlfn.IFERROR(COUNTIF($Y$2:$Y4,"="&amp;Y4),""))</f>
      </c>
      <c r="AA4" s="196">
        <f>COUNTIF($X$2:X3,"&lt;"&amp;X4)</f>
        <v>0</v>
      </c>
      <c r="AB4" s="206">
        <f t="shared" si="8"/>
        <v>0</v>
      </c>
      <c r="AC4" s="346">
        <f t="shared" si="9"/>
        <v>0</v>
      </c>
      <c r="AE4" s="253" t="s">
        <v>4</v>
      </c>
      <c r="AF4" s="141" t="s">
        <v>74</v>
      </c>
      <c r="AG4" s="349">
        <v>0.0008293402777777778</v>
      </c>
    </row>
    <row r="5" spans="1:33" ht="12.75">
      <c r="A5" s="605">
        <v>21</v>
      </c>
      <c r="B5" s="606" t="s">
        <v>88</v>
      </c>
      <c r="C5" s="606" t="str">
        <f t="shared" si="10"/>
        <v>gavin newman</v>
      </c>
      <c r="D5" s="607" t="s">
        <v>51</v>
      </c>
      <c r="E5" s="617" t="s">
        <v>437</v>
      </c>
      <c r="F5" s="608" t="s">
        <v>164</v>
      </c>
      <c r="G5" s="607" t="s">
        <v>166</v>
      </c>
      <c r="H5" s="609">
        <f t="shared" si="11"/>
      </c>
      <c r="I5" s="609">
        <f t="shared" si="11"/>
      </c>
      <c r="J5" s="609">
        <f t="shared" si="11"/>
      </c>
      <c r="K5" s="609">
        <f t="shared" si="11"/>
      </c>
      <c r="L5" s="609">
        <f t="shared" si="11"/>
        <v>100</v>
      </c>
      <c r="M5" s="609">
        <f t="shared" si="11"/>
      </c>
      <c r="N5" s="609">
        <f t="shared" si="11"/>
      </c>
      <c r="O5" s="609">
        <f t="shared" si="11"/>
      </c>
      <c r="P5" s="609">
        <f t="shared" si="11"/>
      </c>
      <c r="Q5" s="609">
        <f t="shared" si="11"/>
      </c>
      <c r="R5" s="609">
        <f t="shared" si="11"/>
      </c>
      <c r="S5" s="103">
        <f t="shared" si="1"/>
        <v>100</v>
      </c>
      <c r="T5" s="605">
        <f>AB5-S5</f>
        <v>0</v>
      </c>
      <c r="U5" s="610">
        <f t="shared" si="3"/>
        <v>73.13000000000001</v>
      </c>
      <c r="V5" s="611">
        <f t="shared" si="4"/>
        <v>-2.933000000000007</v>
      </c>
      <c r="W5" s="612">
        <f t="shared" si="5"/>
        <v>10</v>
      </c>
      <c r="X5" s="196">
        <f t="shared" si="6"/>
        <v>4</v>
      </c>
      <c r="Y5" s="196">
        <f t="shared" si="7"/>
        <v>7</v>
      </c>
      <c r="Z5" s="196">
        <f>IF($Y5="n/a","",_xlfn.IFERROR(COUNTIF($Y$2:$Y5,"="&amp;Y5),""))</f>
        <v>1</v>
      </c>
      <c r="AA5" s="196">
        <f>COUNTIF($X$2:X4,"&lt;"&amp;X5)</f>
        <v>0</v>
      </c>
      <c r="AB5" s="206">
        <f t="shared" si="8"/>
        <v>100</v>
      </c>
      <c r="AC5" s="346">
        <f t="shared" si="9"/>
        <v>110</v>
      </c>
      <c r="AE5" s="254" t="s">
        <v>50</v>
      </c>
      <c r="AF5" s="134" t="s">
        <v>74</v>
      </c>
      <c r="AG5" s="350">
        <v>0.0008423611111111111</v>
      </c>
    </row>
    <row r="6" spans="1:33" ht="12.75">
      <c r="A6" s="107">
        <v>82</v>
      </c>
      <c r="B6" s="47" t="s">
        <v>80</v>
      </c>
      <c r="C6" s="47" t="str">
        <f t="shared" si="10"/>
        <v>steve williamsz</v>
      </c>
      <c r="D6" s="48" t="s">
        <v>5</v>
      </c>
      <c r="E6" s="618" t="s">
        <v>438</v>
      </c>
      <c r="F6" s="613" t="s">
        <v>164</v>
      </c>
      <c r="G6" s="48" t="s">
        <v>166</v>
      </c>
      <c r="H6" s="250">
        <f t="shared" si="11"/>
      </c>
      <c r="I6" s="250">
        <f t="shared" si="11"/>
      </c>
      <c r="J6" s="250">
        <f t="shared" si="11"/>
      </c>
      <c r="K6" s="250">
        <f t="shared" si="11"/>
      </c>
      <c r="L6" s="250">
        <f t="shared" si="11"/>
      </c>
      <c r="M6" s="250">
        <f t="shared" si="11"/>
      </c>
      <c r="N6" s="250">
        <f t="shared" si="11"/>
      </c>
      <c r="O6" s="250">
        <f t="shared" si="11"/>
      </c>
      <c r="P6" s="250">
        <f t="shared" si="11"/>
      </c>
      <c r="Q6" s="250">
        <f t="shared" si="11"/>
        <v>100</v>
      </c>
      <c r="R6" s="250">
        <f t="shared" si="11"/>
      </c>
      <c r="S6" s="103">
        <f t="shared" si="1"/>
        <v>100</v>
      </c>
      <c r="T6" s="107">
        <f t="shared" si="2"/>
        <v>0</v>
      </c>
      <c r="U6" s="215">
        <f t="shared" si="3"/>
        <v>73.685</v>
      </c>
      <c r="V6" s="210">
        <f t="shared" si="4"/>
        <v>-1.460000000000008</v>
      </c>
      <c r="W6" s="108">
        <f t="shared" si="5"/>
        <v>10</v>
      </c>
      <c r="X6" s="196">
        <f t="shared" si="6"/>
        <v>1</v>
      </c>
      <c r="Y6" s="196">
        <f t="shared" si="7"/>
        <v>2</v>
      </c>
      <c r="Z6" s="196">
        <f>IF($Y6="n/a","",_xlfn.IFERROR(COUNTIF($Y$2:$Y6,"="&amp;Y6),""))</f>
        <v>1</v>
      </c>
      <c r="AA6" s="196">
        <f>COUNTIF($X$2:X5,"&lt;"&amp;X6)</f>
        <v>0</v>
      </c>
      <c r="AB6" s="206">
        <f t="shared" si="8"/>
        <v>100</v>
      </c>
      <c r="AC6" s="346">
        <f t="shared" si="9"/>
        <v>110</v>
      </c>
      <c r="AE6" s="255" t="s">
        <v>22</v>
      </c>
      <c r="AF6" s="160" t="s">
        <v>169</v>
      </c>
      <c r="AG6" s="351">
        <v>0.0008229166666666667</v>
      </c>
    </row>
    <row r="7" spans="1:33" ht="12.75">
      <c r="A7" s="105">
        <v>62</v>
      </c>
      <c r="B7" s="35" t="s">
        <v>75</v>
      </c>
      <c r="C7" s="35" t="str">
        <f t="shared" si="10"/>
        <v>noel heritage</v>
      </c>
      <c r="D7" s="36" t="s">
        <v>21</v>
      </c>
      <c r="E7" s="549" t="s">
        <v>439</v>
      </c>
      <c r="F7" s="35"/>
      <c r="G7" s="36" t="s">
        <v>166</v>
      </c>
      <c r="H7" s="249">
        <f t="shared" si="11"/>
      </c>
      <c r="I7" s="249">
        <f t="shared" si="11"/>
      </c>
      <c r="J7" s="249">
        <f t="shared" si="11"/>
      </c>
      <c r="K7" s="249">
        <f t="shared" si="11"/>
      </c>
      <c r="L7" s="249">
        <f t="shared" si="11"/>
      </c>
      <c r="M7" s="249">
        <f t="shared" si="11"/>
        <v>100</v>
      </c>
      <c r="N7" s="249">
        <f t="shared" si="11"/>
      </c>
      <c r="O7" s="249">
        <f t="shared" si="11"/>
      </c>
      <c r="P7" s="249">
        <f t="shared" si="11"/>
      </c>
      <c r="Q7" s="249">
        <f t="shared" si="11"/>
      </c>
      <c r="R7" s="249">
        <f t="shared" si="11"/>
      </c>
      <c r="S7" s="103">
        <f t="shared" si="1"/>
        <v>100</v>
      </c>
      <c r="T7" s="105">
        <f t="shared" si="2"/>
        <v>-25</v>
      </c>
      <c r="U7" s="214">
        <f t="shared" si="3"/>
        <v>72.22399999999999</v>
      </c>
      <c r="V7" s="208">
        <f t="shared" si="4"/>
        <v>0.10900000000002308</v>
      </c>
      <c r="W7" s="106">
        <f t="shared" si="5"/>
        <v>5</v>
      </c>
      <c r="X7" s="196">
        <f t="shared" si="6"/>
        <v>2</v>
      </c>
      <c r="Y7" s="196">
        <f t="shared" si="7"/>
        <v>4</v>
      </c>
      <c r="Z7" s="196">
        <f>IF($Y7="n/a","",_xlfn.IFERROR(COUNTIF($Y$2:$Y7,"="&amp;Y7),""))</f>
        <v>1</v>
      </c>
      <c r="AA7" s="196">
        <f>COUNTIF($X$2:X6,"&lt;"&amp;X7)</f>
        <v>1</v>
      </c>
      <c r="AB7" s="206">
        <f t="shared" si="8"/>
        <v>75</v>
      </c>
      <c r="AC7" s="346">
        <f t="shared" si="9"/>
        <v>80</v>
      </c>
      <c r="AE7" s="256" t="s">
        <v>21</v>
      </c>
      <c r="AF7" s="44" t="s">
        <v>75</v>
      </c>
      <c r="AG7" s="557">
        <v>0.0008359259259259258</v>
      </c>
    </row>
    <row r="8" spans="1:33" ht="12.75">
      <c r="A8" s="415">
        <v>16</v>
      </c>
      <c r="B8" s="135" t="s">
        <v>133</v>
      </c>
      <c r="C8" s="135" t="str">
        <f t="shared" si="10"/>
        <v>david adam</v>
      </c>
      <c r="D8" s="416" t="s">
        <v>50</v>
      </c>
      <c r="E8" s="619" t="s">
        <v>440</v>
      </c>
      <c r="F8" s="614" t="s">
        <v>164</v>
      </c>
      <c r="G8" s="416" t="s">
        <v>166</v>
      </c>
      <c r="H8" s="418">
        <f t="shared" si="11"/>
      </c>
      <c r="I8" s="418">
        <f t="shared" si="11"/>
      </c>
      <c r="J8" s="418">
        <f t="shared" si="11"/>
      </c>
      <c r="K8" s="418">
        <f t="shared" si="11"/>
      </c>
      <c r="L8" s="418">
        <f t="shared" si="11"/>
      </c>
      <c r="M8" s="418">
        <f t="shared" si="11"/>
      </c>
      <c r="N8" s="418">
        <f t="shared" si="11"/>
      </c>
      <c r="O8" s="418">
        <f t="shared" si="11"/>
        <v>100</v>
      </c>
      <c r="P8" s="418">
        <f t="shared" si="11"/>
      </c>
      <c r="Q8" s="418">
        <f t="shared" si="11"/>
      </c>
      <c r="R8" s="418">
        <f t="shared" si="11"/>
      </c>
      <c r="S8" s="103">
        <f t="shared" si="1"/>
        <v>100</v>
      </c>
      <c r="T8" s="415">
        <f aca="true" t="shared" si="12" ref="T8:T16">AB8-S8</f>
        <v>-40</v>
      </c>
      <c r="U8" s="419">
        <f t="shared" si="3"/>
        <v>72.78</v>
      </c>
      <c r="V8" s="420">
        <f t="shared" si="4"/>
        <v>-0.1729999999999876</v>
      </c>
      <c r="W8" s="591">
        <f t="shared" si="5"/>
        <v>10</v>
      </c>
      <c r="X8" s="196">
        <f t="shared" si="6"/>
        <v>3</v>
      </c>
      <c r="Y8" s="196">
        <f t="shared" si="7"/>
        <v>6</v>
      </c>
      <c r="Z8" s="196">
        <f>IF($Y8="n/a","",_xlfn.IFERROR(COUNTIF($Y$2:$Y8,"="&amp;Y8),""))</f>
        <v>1</v>
      </c>
      <c r="AA8" s="196">
        <f>COUNTIF($X$2:X7,"&lt;"&amp;X8)</f>
        <v>2</v>
      </c>
      <c r="AB8" s="206">
        <f t="shared" si="8"/>
        <v>60</v>
      </c>
      <c r="AC8" s="346">
        <f aca="true" t="shared" si="13" ref="AC8:AC16">(S8+T8+W8)</f>
        <v>70</v>
      </c>
      <c r="AE8" s="257" t="s">
        <v>51</v>
      </c>
      <c r="AF8" s="352" t="s">
        <v>452</v>
      </c>
      <c r="AG8" s="558">
        <v>0.0008464120370370371</v>
      </c>
    </row>
    <row r="9" spans="1:33" ht="12.75">
      <c r="A9" s="105">
        <v>141</v>
      </c>
      <c r="B9" s="35" t="s">
        <v>111</v>
      </c>
      <c r="C9" s="35" t="str">
        <f t="shared" si="10"/>
        <v>max lloyd</v>
      </c>
      <c r="D9" s="36" t="s">
        <v>21</v>
      </c>
      <c r="E9" s="549" t="s">
        <v>441</v>
      </c>
      <c r="F9" s="35"/>
      <c r="G9" s="36" t="s">
        <v>166</v>
      </c>
      <c r="H9" s="249">
        <f t="shared" si="11"/>
      </c>
      <c r="I9" s="249">
        <f t="shared" si="11"/>
      </c>
      <c r="J9" s="249">
        <f t="shared" si="11"/>
      </c>
      <c r="K9" s="249">
        <f t="shared" si="11"/>
      </c>
      <c r="L9" s="249">
        <f t="shared" si="11"/>
      </c>
      <c r="M9" s="249">
        <f t="shared" si="11"/>
        <v>75</v>
      </c>
      <c r="N9" s="249">
        <f t="shared" si="11"/>
      </c>
      <c r="O9" s="249">
        <f t="shared" si="11"/>
      </c>
      <c r="P9" s="249">
        <f t="shared" si="11"/>
      </c>
      <c r="Q9" s="249">
        <f t="shared" si="11"/>
      </c>
      <c r="R9" s="249">
        <f t="shared" si="11"/>
      </c>
      <c r="S9" s="103">
        <f t="shared" si="1"/>
        <v>75</v>
      </c>
      <c r="T9" s="105">
        <f t="shared" si="12"/>
        <v>-15</v>
      </c>
      <c r="U9" s="214">
        <f t="shared" si="3"/>
        <v>72.22399999999999</v>
      </c>
      <c r="V9" s="208">
        <f t="shared" si="4"/>
        <v>0.6200000000000045</v>
      </c>
      <c r="W9" s="106">
        <f t="shared" si="5"/>
        <v>5</v>
      </c>
      <c r="X9" s="196">
        <f t="shared" si="6"/>
        <v>2</v>
      </c>
      <c r="Y9" s="196">
        <f t="shared" si="7"/>
        <v>4</v>
      </c>
      <c r="Z9" s="196">
        <f>IF($Y9="n/a","",_xlfn.IFERROR(COUNTIF($Y$2:$Y9,"="&amp;Y9),""))</f>
        <v>2</v>
      </c>
      <c r="AA9" s="196">
        <f>COUNTIF($X$2:X8,"&lt;"&amp;X9)</f>
        <v>1</v>
      </c>
      <c r="AB9" s="206">
        <f t="shared" si="8"/>
        <v>60</v>
      </c>
      <c r="AC9" s="346">
        <f t="shared" si="13"/>
        <v>65</v>
      </c>
      <c r="AE9" s="258" t="s">
        <v>52</v>
      </c>
      <c r="AF9" s="353" t="s">
        <v>72</v>
      </c>
      <c r="AG9" s="354">
        <v>0.000818125</v>
      </c>
    </row>
    <row r="10" spans="1:33" ht="12.75">
      <c r="A10" s="195">
        <v>154</v>
      </c>
      <c r="B10" s="5" t="s">
        <v>442</v>
      </c>
      <c r="C10" s="5" t="str">
        <f t="shared" si="10"/>
        <v>peter marks</v>
      </c>
      <c r="D10" s="12" t="s">
        <v>26</v>
      </c>
      <c r="E10" s="7" t="s">
        <v>443</v>
      </c>
      <c r="F10" s="5"/>
      <c r="G10" s="12" t="s">
        <v>166</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 t="shared" si="12"/>
        <v>0</v>
      </c>
      <c r="U10" s="155">
        <f t="shared" si="3"/>
      </c>
      <c r="V10" s="209"/>
      <c r="W10" s="104"/>
      <c r="X10" s="196" t="str">
        <f t="shared" si="6"/>
        <v>n/a</v>
      </c>
      <c r="Y10" s="196" t="str">
        <f t="shared" si="7"/>
        <v>n/a</v>
      </c>
      <c r="Z10" s="196">
        <f>IF($Y10="n/a","",_xlfn.IFERROR(COUNTIF($Y$2:$Y10,"="&amp;Y10),""))</f>
      </c>
      <c r="AA10" s="196">
        <f>COUNTIF($X$2:X9,"&lt;"&amp;X10)</f>
        <v>0</v>
      </c>
      <c r="AB10" s="206">
        <f t="shared" si="8"/>
        <v>0</v>
      </c>
      <c r="AC10" s="346">
        <f t="shared" si="13"/>
        <v>0</v>
      </c>
      <c r="AE10" s="259" t="s">
        <v>16</v>
      </c>
      <c r="AF10" s="355" t="s">
        <v>106</v>
      </c>
      <c r="AG10" s="356">
        <v>0.0007734374999999999</v>
      </c>
    </row>
    <row r="11" spans="1:33" ht="12.75">
      <c r="A11" s="195">
        <v>242</v>
      </c>
      <c r="B11" s="5" t="s">
        <v>105</v>
      </c>
      <c r="C11" s="5" t="str">
        <f t="shared" si="10"/>
        <v>leon bogers</v>
      </c>
      <c r="D11" s="12" t="s">
        <v>26</v>
      </c>
      <c r="E11" s="7" t="s">
        <v>444</v>
      </c>
      <c r="F11" s="5"/>
      <c r="G11" s="12" t="s">
        <v>385</v>
      </c>
      <c r="H11" s="248">
        <f t="shared" si="11"/>
      </c>
      <c r="I11" s="248">
        <f t="shared" si="11"/>
      </c>
      <c r="J11" s="248">
        <f t="shared" si="11"/>
      </c>
      <c r="K11" s="248">
        <f t="shared" si="11"/>
      </c>
      <c r="L11" s="248">
        <f t="shared" si="11"/>
      </c>
      <c r="M11" s="248">
        <f t="shared" si="11"/>
      </c>
      <c r="N11" s="248">
        <f t="shared" si="11"/>
      </c>
      <c r="O11" s="248">
        <f t="shared" si="11"/>
      </c>
      <c r="P11" s="248">
        <f t="shared" si="11"/>
      </c>
      <c r="Q11" s="248">
        <f t="shared" si="11"/>
      </c>
      <c r="R11" s="248">
        <f t="shared" si="11"/>
      </c>
      <c r="S11" s="103">
        <f t="shared" si="1"/>
        <v>0</v>
      </c>
      <c r="T11" s="195">
        <f t="shared" si="12"/>
        <v>0</v>
      </c>
      <c r="U11" s="155">
        <f t="shared" si="3"/>
      </c>
      <c r="V11" s="209"/>
      <c r="W11" s="104"/>
      <c r="X11" s="196" t="str">
        <f t="shared" si="6"/>
        <v>n/a</v>
      </c>
      <c r="Y11" s="196" t="str">
        <f t="shared" si="7"/>
        <v>n/a</v>
      </c>
      <c r="Z11" s="196">
        <f>IF($Y11="n/a","",_xlfn.IFERROR(COUNTIF($Y$2:$Y11,"="&amp;Y11),""))</f>
      </c>
      <c r="AA11" s="196">
        <f>COUNTIF($X$2:X10,"&lt;"&amp;X11)</f>
        <v>0</v>
      </c>
      <c r="AB11" s="206">
        <f t="shared" si="8"/>
        <v>0</v>
      </c>
      <c r="AC11" s="346">
        <f t="shared" si="13"/>
        <v>0</v>
      </c>
      <c r="AE11" s="260" t="s">
        <v>13</v>
      </c>
      <c r="AF11" s="357" t="s">
        <v>82</v>
      </c>
      <c r="AG11" s="358">
        <v>0.0007670833333333333</v>
      </c>
    </row>
    <row r="12" spans="1:33" ht="13.5" thickBot="1">
      <c r="A12" s="570">
        <v>55</v>
      </c>
      <c r="B12" s="74" t="s">
        <v>180</v>
      </c>
      <c r="C12" s="74" t="str">
        <f t="shared" si="10"/>
        <v>kutay dal</v>
      </c>
      <c r="D12" s="421" t="s">
        <v>3</v>
      </c>
      <c r="E12" s="620" t="s">
        <v>445</v>
      </c>
      <c r="F12" s="74"/>
      <c r="G12" s="421" t="s">
        <v>165</v>
      </c>
      <c r="H12" s="571">
        <f t="shared" si="11"/>
      </c>
      <c r="I12" s="571">
        <f t="shared" si="11"/>
      </c>
      <c r="J12" s="571">
        <f t="shared" si="11"/>
      </c>
      <c r="K12" s="571">
        <f t="shared" si="11"/>
      </c>
      <c r="L12" s="571">
        <f t="shared" si="11"/>
      </c>
      <c r="M12" s="571">
        <f t="shared" si="11"/>
      </c>
      <c r="N12" s="571">
        <f t="shared" si="11"/>
      </c>
      <c r="O12" s="571">
        <f t="shared" si="11"/>
      </c>
      <c r="P12" s="571">
        <f t="shared" si="11"/>
      </c>
      <c r="Q12" s="571">
        <f t="shared" si="11"/>
      </c>
      <c r="R12" s="571">
        <f t="shared" si="11"/>
        <v>100</v>
      </c>
      <c r="S12" s="103">
        <f t="shared" si="1"/>
        <v>100</v>
      </c>
      <c r="T12" s="570">
        <f t="shared" si="12"/>
        <v>0</v>
      </c>
      <c r="U12" s="588">
        <f t="shared" si="3"/>
        <v>73.816</v>
      </c>
      <c r="V12" s="572">
        <f t="shared" si="4"/>
        <v>0.8769999999999953</v>
      </c>
      <c r="W12" s="593">
        <f t="shared" si="5"/>
        <v>5</v>
      </c>
      <c r="X12" s="196">
        <f t="shared" si="6"/>
        <v>1</v>
      </c>
      <c r="Y12" s="196">
        <f t="shared" si="7"/>
        <v>1</v>
      </c>
      <c r="Z12" s="196">
        <f>IF($Y12="n/a","",_xlfn.IFERROR(COUNTIF($Y$2:$Y12,"="&amp;Y12),""))</f>
        <v>1</v>
      </c>
      <c r="AA12" s="196">
        <f>COUNTIF($X$2:X11,"&lt;"&amp;X12)</f>
        <v>0</v>
      </c>
      <c r="AB12" s="206">
        <f t="shared" si="8"/>
        <v>100</v>
      </c>
      <c r="AC12" s="346">
        <f t="shared" si="13"/>
        <v>105</v>
      </c>
      <c r="AE12" s="261" t="s">
        <v>14</v>
      </c>
      <c r="AF12" s="559" t="s">
        <v>107</v>
      </c>
      <c r="AG12" s="560">
        <v>0.0007424652777777778</v>
      </c>
    </row>
    <row r="13" spans="1:29" ht="12.75">
      <c r="A13" s="107">
        <v>77</v>
      </c>
      <c r="B13" s="47" t="s">
        <v>78</v>
      </c>
      <c r="C13" s="47" t="str">
        <f t="shared" si="10"/>
        <v>simeon ouzas</v>
      </c>
      <c r="D13" s="48" t="s">
        <v>5</v>
      </c>
      <c r="E13" s="552" t="s">
        <v>446</v>
      </c>
      <c r="F13" s="47"/>
      <c r="G13" s="48" t="s">
        <v>165</v>
      </c>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t="shared" si="12"/>
        <v>0</v>
      </c>
      <c r="U13" s="215">
        <f t="shared" si="3"/>
        <v>73.685</v>
      </c>
      <c r="V13" s="210">
        <f t="shared" si="4"/>
        <v>1.0459999999999923</v>
      </c>
      <c r="W13" s="108">
        <f t="shared" si="5"/>
        <v>0</v>
      </c>
      <c r="X13" s="196">
        <f t="shared" si="6"/>
        <v>1</v>
      </c>
      <c r="Y13" s="196">
        <f t="shared" si="7"/>
        <v>2</v>
      </c>
      <c r="Z13" s="196">
        <f>IF($Y13="n/a","",_xlfn.IFERROR(COUNTIF($Y$2:$Y13,"="&amp;Y13),""))</f>
        <v>2</v>
      </c>
      <c r="AA13" s="196">
        <f>COUNTIF($X$2:X6,"&lt;"&amp;X13)</f>
        <v>0</v>
      </c>
      <c r="AB13" s="206">
        <f t="shared" si="8"/>
        <v>75</v>
      </c>
      <c r="AC13" s="346">
        <f t="shared" si="13"/>
        <v>75</v>
      </c>
    </row>
    <row r="14" spans="1:29" ht="12.75">
      <c r="A14" s="195">
        <v>34</v>
      </c>
      <c r="B14" s="5" t="s">
        <v>410</v>
      </c>
      <c r="C14" s="5" t="str">
        <f t="shared" si="10"/>
        <v>tim van duyl</v>
      </c>
      <c r="D14" s="12" t="s">
        <v>26</v>
      </c>
      <c r="E14" s="7" t="s">
        <v>447</v>
      </c>
      <c r="F14" s="5"/>
      <c r="G14" s="12" t="s">
        <v>166</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48">
        <f t="shared" si="11"/>
      </c>
      <c r="S14" s="103">
        <f t="shared" si="1"/>
        <v>0</v>
      </c>
      <c r="T14" s="195">
        <f t="shared" si="12"/>
        <v>0</v>
      </c>
      <c r="U14" s="155">
        <f t="shared" si="3"/>
      </c>
      <c r="V14" s="209"/>
      <c r="W14" s="104"/>
      <c r="X14" s="196" t="str">
        <f t="shared" si="6"/>
        <v>n/a</v>
      </c>
      <c r="Y14" s="196" t="str">
        <f t="shared" si="7"/>
        <v>n/a</v>
      </c>
      <c r="Z14" s="196">
        <f>IF($Y14="n/a","",_xlfn.IFERROR(COUNTIF($Y$2:$Y14,"="&amp;Y14),""))</f>
      </c>
      <c r="AA14" s="196">
        <f>COUNTIF($X$2:X13,"&lt;"&amp;X14)</f>
        <v>0</v>
      </c>
      <c r="AB14" s="206">
        <f t="shared" si="8"/>
        <v>0</v>
      </c>
      <c r="AC14" s="346">
        <f t="shared" si="13"/>
        <v>0</v>
      </c>
    </row>
    <row r="15" spans="1:29" ht="12.75">
      <c r="A15" s="107">
        <v>241</v>
      </c>
      <c r="B15" s="47" t="s">
        <v>79</v>
      </c>
      <c r="C15" s="47" t="str">
        <f t="shared" si="10"/>
        <v>john downes</v>
      </c>
      <c r="D15" s="48" t="s">
        <v>5</v>
      </c>
      <c r="E15" s="552" t="s">
        <v>448</v>
      </c>
      <c r="F15" s="47"/>
      <c r="G15" s="48" t="s">
        <v>165</v>
      </c>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 t="shared" si="12"/>
        <v>0</v>
      </c>
      <c r="U15" s="215">
        <f t="shared" si="3"/>
        <v>73.685</v>
      </c>
      <c r="V15" s="210">
        <f t="shared" si="4"/>
        <v>2.64200000000001</v>
      </c>
      <c r="W15" s="108">
        <f t="shared" si="5"/>
        <v>-5</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6">
        <f t="shared" si="13"/>
        <v>55</v>
      </c>
    </row>
    <row r="16" spans="1:29" ht="12.75" thickBot="1">
      <c r="A16" s="201">
        <v>118</v>
      </c>
      <c r="B16" s="603" t="s">
        <v>449</v>
      </c>
      <c r="C16" s="603" t="str">
        <f t="shared" si="10"/>
        <v>tom whelan</v>
      </c>
      <c r="D16" s="479" t="s">
        <v>26</v>
      </c>
      <c r="E16" s="621" t="s">
        <v>450</v>
      </c>
      <c r="F16" s="603"/>
      <c r="G16" s="479" t="s">
        <v>166</v>
      </c>
      <c r="H16" s="285">
        <f t="shared" si="11"/>
      </c>
      <c r="I16" s="285">
        <f t="shared" si="11"/>
      </c>
      <c r="J16" s="285">
        <f t="shared" si="11"/>
      </c>
      <c r="K16" s="285">
        <f t="shared" si="11"/>
      </c>
      <c r="L16" s="285">
        <f t="shared" si="11"/>
      </c>
      <c r="M16" s="285">
        <f t="shared" si="11"/>
      </c>
      <c r="N16" s="285">
        <f t="shared" si="11"/>
      </c>
      <c r="O16" s="285">
        <f t="shared" si="11"/>
      </c>
      <c r="P16" s="285">
        <f t="shared" si="11"/>
      </c>
      <c r="Q16" s="285">
        <f t="shared" si="11"/>
      </c>
      <c r="R16" s="285">
        <f t="shared" si="11"/>
      </c>
      <c r="S16" s="586">
        <f t="shared" si="1"/>
        <v>0</v>
      </c>
      <c r="T16" s="201">
        <f t="shared" si="12"/>
        <v>0</v>
      </c>
      <c r="U16" s="162">
        <f t="shared" si="3"/>
      </c>
      <c r="V16" s="271"/>
      <c r="W16" s="176"/>
      <c r="X16" s="441" t="str">
        <f t="shared" si="6"/>
        <v>n/a</v>
      </c>
      <c r="Y16" s="441" t="str">
        <f t="shared" si="7"/>
        <v>n/a</v>
      </c>
      <c r="Z16" s="441">
        <f>IF($Y16="n/a","",_xlfn.IFERROR(COUNTIF($Y$2:$Y16,"="&amp;Y16),""))</f>
      </c>
      <c r="AA16" s="441">
        <f>COUNTIF($X$2:X15,"&lt;"&amp;X16)</f>
        <v>0</v>
      </c>
      <c r="AB16" s="442">
        <f t="shared" si="8"/>
        <v>0</v>
      </c>
      <c r="AC16" s="481">
        <f t="shared" si="13"/>
        <v>0</v>
      </c>
    </row>
    <row r="17" spans="6:29" ht="12.75" thickBot="1">
      <c r="F17" s="175"/>
      <c r="G17" s="177" t="s">
        <v>27</v>
      </c>
      <c r="H17" s="178">
        <f>COUNT(H2:H16)</f>
        <v>0</v>
      </c>
      <c r="I17" s="178">
        <f>COUNT(I2:I16)</f>
        <v>0</v>
      </c>
      <c r="J17" s="178">
        <f>COUNT(J2:J16)</f>
        <v>1</v>
      </c>
      <c r="K17" s="178">
        <f>COUNT(K2:K16)</f>
        <v>1</v>
      </c>
      <c r="L17" s="178">
        <f>COUNT(L2:L16)</f>
        <v>1</v>
      </c>
      <c r="M17" s="178">
        <f>COUNT(M2:M16)</f>
        <v>2</v>
      </c>
      <c r="N17" s="178">
        <f>COUNT(N2:N16)</f>
        <v>0</v>
      </c>
      <c r="O17" s="178">
        <f>COUNT(O2:O16)</f>
        <v>1</v>
      </c>
      <c r="P17" s="178">
        <f>COUNT(P2:P16)</f>
        <v>0</v>
      </c>
      <c r="Q17" s="178">
        <f>COUNT(Q2:Q16)</f>
        <v>3</v>
      </c>
      <c r="R17" s="178">
        <f>COUNT(R2:R16)</f>
        <v>1</v>
      </c>
      <c r="S17" s="316">
        <f>COUNT(S2:S16)</f>
        <v>15</v>
      </c>
      <c r="T17" s="216"/>
      <c r="U17" s="216"/>
      <c r="V17" s="204"/>
      <c r="W17" s="216"/>
      <c r="X17" s="216"/>
      <c r="Y17" s="216"/>
      <c r="Z17" s="216"/>
      <c r="AA17" s="216"/>
      <c r="AB17" s="216"/>
      <c r="AC17" s="216"/>
    </row>
    <row r="18" spans="20:29" ht="12.75">
      <c r="T18" s="8"/>
      <c r="U18" s="1"/>
      <c r="V18" s="204"/>
      <c r="W18" s="1"/>
      <c r="X18" s="8"/>
      <c r="Y18" s="8"/>
      <c r="Z18" s="8"/>
      <c r="AA18" s="8"/>
      <c r="AB18" s="8"/>
      <c r="AC18" s="1"/>
    </row>
    <row r="19" spans="2:28" ht="12.75">
      <c r="B19" s="2"/>
      <c r="C19" s="2"/>
      <c r="D19" s="111"/>
      <c r="T19" s="111"/>
      <c r="X19" s="111"/>
      <c r="Y19" s="111"/>
      <c r="Z19" s="111"/>
      <c r="AA19" s="111"/>
      <c r="AB19" s="111"/>
    </row>
    <row r="20" ht="12.75">
      <c r="V2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4.25">
      <c r="A2" s="33" t="s">
        <v>15</v>
      </c>
      <c r="B2" s="117" t="s">
        <v>35</v>
      </c>
    </row>
    <row r="3" spans="1:2" ht="14.25">
      <c r="A3" s="33" t="s">
        <v>15</v>
      </c>
      <c r="B3" s="117" t="s">
        <v>36</v>
      </c>
    </row>
    <row r="4" spans="1:13" ht="25.5" customHeight="1">
      <c r="A4" s="33" t="s">
        <v>15</v>
      </c>
      <c r="B4" s="629" t="s">
        <v>104</v>
      </c>
      <c r="C4" s="629"/>
      <c r="D4" s="629"/>
      <c r="E4" s="629"/>
      <c r="F4" s="629"/>
      <c r="G4" s="629"/>
      <c r="H4" s="629"/>
      <c r="I4" s="629"/>
      <c r="J4" s="629"/>
      <c r="K4" s="629"/>
      <c r="L4" s="629"/>
      <c r="M4" s="629"/>
    </row>
    <row r="6" ht="13.5" thickBot="1">
      <c r="A6" s="30" t="s">
        <v>99</v>
      </c>
    </row>
    <row r="7" spans="1:5" ht="13.5" thickBot="1">
      <c r="A7" s="222" t="s">
        <v>2</v>
      </c>
      <c r="B7" s="219" t="s">
        <v>92</v>
      </c>
      <c r="C7" s="223" t="s">
        <v>91</v>
      </c>
      <c r="D7" s="221" t="s">
        <v>93</v>
      </c>
      <c r="E7" s="220"/>
    </row>
    <row r="8" spans="1:5" ht="12.75">
      <c r="A8" s="226" t="s">
        <v>3</v>
      </c>
      <c r="B8" s="225" t="s">
        <v>100</v>
      </c>
      <c r="C8" s="224">
        <v>1</v>
      </c>
      <c r="D8" s="227">
        <v>1</v>
      </c>
      <c r="E8" s="630" t="s">
        <v>90</v>
      </c>
    </row>
    <row r="9" spans="1:5" ht="12.75" thickBot="1">
      <c r="A9" s="230" t="s">
        <v>5</v>
      </c>
      <c r="B9" s="229" t="s">
        <v>101</v>
      </c>
      <c r="C9" s="228">
        <v>2</v>
      </c>
      <c r="D9" s="231">
        <v>1</v>
      </c>
      <c r="E9" s="631"/>
    </row>
    <row r="10" spans="1:5" ht="12.75">
      <c r="A10" s="226" t="s">
        <v>22</v>
      </c>
      <c r="B10" s="225" t="s">
        <v>102</v>
      </c>
      <c r="C10" s="224">
        <v>3</v>
      </c>
      <c r="D10" s="227">
        <v>2</v>
      </c>
      <c r="E10" s="630" t="s">
        <v>90</v>
      </c>
    </row>
    <row r="11" spans="1:5" ht="12.75" thickBot="1">
      <c r="A11" s="230" t="s">
        <v>21</v>
      </c>
      <c r="B11" s="229" t="s">
        <v>19</v>
      </c>
      <c r="C11" s="228">
        <v>4</v>
      </c>
      <c r="D11" s="231">
        <v>2</v>
      </c>
      <c r="E11" s="631"/>
    </row>
    <row r="12" spans="1:5" ht="12.75">
      <c r="A12" s="226" t="s">
        <v>4</v>
      </c>
      <c r="B12" s="232" t="s">
        <v>9</v>
      </c>
      <c r="C12" s="224">
        <v>5</v>
      </c>
      <c r="D12" s="227">
        <v>3</v>
      </c>
      <c r="E12" s="630" t="s">
        <v>90</v>
      </c>
    </row>
    <row r="13" spans="1:5" ht="12.75" thickBot="1">
      <c r="A13" s="230" t="s">
        <v>50</v>
      </c>
      <c r="B13" s="233" t="s">
        <v>20</v>
      </c>
      <c r="C13" s="228">
        <v>6</v>
      </c>
      <c r="D13" s="231">
        <v>3</v>
      </c>
      <c r="E13" s="631"/>
    </row>
    <row r="14" spans="1:5" ht="12.75" customHeight="1">
      <c r="A14" s="226" t="s">
        <v>51</v>
      </c>
      <c r="B14" s="232" t="s">
        <v>48</v>
      </c>
      <c r="C14" s="224">
        <v>7</v>
      </c>
      <c r="D14" s="227">
        <v>4</v>
      </c>
      <c r="E14" s="630" t="s">
        <v>90</v>
      </c>
    </row>
    <row r="15" spans="1:5" ht="12.75" customHeight="1" thickBot="1">
      <c r="A15" s="230" t="s">
        <v>52</v>
      </c>
      <c r="B15" s="233" t="s">
        <v>49</v>
      </c>
      <c r="C15" s="228">
        <v>8</v>
      </c>
      <c r="D15" s="231">
        <v>4</v>
      </c>
      <c r="E15" s="631"/>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75">
      <c r="A19" s="34"/>
      <c r="B19" s="32"/>
    </row>
    <row r="20" spans="1:2" ht="12.75">
      <c r="A20" s="218" t="s">
        <v>103</v>
      </c>
      <c r="B20" s="32"/>
    </row>
    <row r="21" spans="1:2" ht="12.75">
      <c r="A21" s="246" t="s">
        <v>0</v>
      </c>
      <c r="B21" s="172" t="s">
        <v>96</v>
      </c>
    </row>
    <row r="22" spans="1:2" ht="12.75">
      <c r="A22" s="199">
        <v>1</v>
      </c>
      <c r="B22" s="198">
        <v>100</v>
      </c>
    </row>
    <row r="23" spans="1:2" ht="12.75">
      <c r="A23" s="199">
        <v>2</v>
      </c>
      <c r="B23" s="198">
        <v>75</v>
      </c>
    </row>
    <row r="24" spans="1:2" ht="12.75">
      <c r="A24" s="199">
        <v>3</v>
      </c>
      <c r="B24" s="198">
        <v>60</v>
      </c>
    </row>
    <row r="25" spans="1:2" ht="12.75">
      <c r="A25" s="199">
        <v>4</v>
      </c>
      <c r="B25" s="198">
        <v>45</v>
      </c>
    </row>
    <row r="26" spans="1:2" ht="12.75">
      <c r="A26" s="199">
        <v>5</v>
      </c>
      <c r="B26" s="200">
        <v>30</v>
      </c>
    </row>
    <row r="27" spans="1:2" ht="12.75">
      <c r="A27" s="199">
        <v>6</v>
      </c>
      <c r="B27" s="200">
        <v>15</v>
      </c>
    </row>
    <row r="28" spans="1:2" ht="12.75">
      <c r="A28" s="199">
        <v>7</v>
      </c>
      <c r="B28" s="200">
        <v>15</v>
      </c>
    </row>
    <row r="29" spans="1:2" ht="12.75">
      <c r="A29" s="199">
        <v>8</v>
      </c>
      <c r="B29" s="200">
        <v>15</v>
      </c>
    </row>
    <row r="30" spans="1:2" ht="12.75">
      <c r="A30" s="199">
        <v>9</v>
      </c>
      <c r="B30" s="198">
        <v>15</v>
      </c>
    </row>
    <row r="31" spans="1:2" ht="12.75">
      <c r="A31" s="199">
        <v>10</v>
      </c>
      <c r="B31" s="198">
        <v>15</v>
      </c>
    </row>
    <row r="32" spans="1:2" ht="12.75">
      <c r="A32" s="197"/>
      <c r="B32" s="198"/>
    </row>
    <row r="34" spans="1:2" ht="14.25" thickBot="1">
      <c r="A34" s="121" t="s">
        <v>37</v>
      </c>
      <c r="B34" s="119"/>
    </row>
    <row r="35" spans="1:2" ht="14.25" thickBot="1">
      <c r="A35" s="243" t="s">
        <v>43</v>
      </c>
      <c r="B35" s="241" t="s">
        <v>38</v>
      </c>
    </row>
    <row r="36" spans="1:2" ht="14.25" thickBot="1">
      <c r="A36" s="244" t="s">
        <v>44</v>
      </c>
      <c r="B36" s="242" t="s">
        <v>39</v>
      </c>
    </row>
    <row r="37" spans="1:2" ht="14.25" thickBot="1">
      <c r="A37" s="244" t="s">
        <v>45</v>
      </c>
      <c r="B37" s="242" t="s">
        <v>40</v>
      </c>
    </row>
    <row r="38" spans="1:2" ht="14.25" thickBot="1">
      <c r="A38" s="244" t="s">
        <v>46</v>
      </c>
      <c r="B38" s="242" t="s">
        <v>41</v>
      </c>
    </row>
    <row r="39" spans="1:2" ht="14.25" thickBot="1">
      <c r="A39" s="245" t="s">
        <v>47</v>
      </c>
      <c r="B39" s="242" t="s">
        <v>42</v>
      </c>
    </row>
    <row r="40" spans="1:2" ht="12.75">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2018-06-12T03:30:34Z</dcterms:modified>
  <cp:category/>
  <cp:version/>
  <cp:contentType/>
  <cp:contentStatus/>
</cp:coreProperties>
</file>