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51" windowHeight="11520" tabRatio="757" activeTab="0"/>
  </bookViews>
  <sheets>
    <sheet name="Championship Points" sheetId="1" r:id="rId1"/>
    <sheet name="Rd1 PI" sheetId="2" r:id="rId2"/>
    <sheet name="Rd2 Winton" sheetId="3" r:id="rId3"/>
    <sheet name="Rd3 Winton IC" sheetId="4" r:id="rId4"/>
    <sheet name="Rd4 Sandown" sheetId="5" r:id="rId5"/>
    <sheet name="Rd5 Winton" sheetId="6" r:id="rId6"/>
    <sheet name="Rd6 PI" sheetId="7" r:id="rId7"/>
    <sheet name="Rd7 Winton" sheetId="8" r:id="rId8"/>
    <sheet name="Championship Scoring" sheetId="9" r:id="rId9"/>
  </sheets>
  <externalReferences>
    <externalReference r:id="rId12"/>
    <externalReference r:id="rId13"/>
    <externalReference r:id="rId14"/>
  </externalReferences>
  <definedNames>
    <definedName name="_xlfn.IFERROR" hidden="1">#NAME?</definedName>
    <definedName name="Benchmarks" localSheetId="1">'Rd1 PI'!$AE$1:$AG$21</definedName>
    <definedName name="Benchmarks" localSheetId="4">'Rd4 Sandown'!$AE$2:$AG$12</definedName>
    <definedName name="Benchmarks" localSheetId="5">'Rd5 Winton'!$AE$2:$AG$12</definedName>
    <definedName name="Benchmarks" localSheetId="6">'Rd6 PI'!$AE$2:$AG$12</definedName>
    <definedName name="Benchmarks" localSheetId="7">'Rd7 Winton'!$AE$2:$AG$12</definedName>
    <definedName name="Benchmarks">'Rd2 Winton'!$AE$2:$AG$12</definedName>
    <definedName name="Benchmarks2">'[3]Rd1 Broadford'!$AE$2:$AG$12</definedName>
    <definedName name="BenchmarksRd1" localSheetId="2">'[1]Rd1 Broadford'!$AE$2:$AG$12</definedName>
    <definedName name="BenchmarksRd1" localSheetId="3">'[2]Rd1 Broadford'!$AE$2:$AG$12</definedName>
    <definedName name="BenchmarksRd1" localSheetId="4">'[1]Rd1 Broadford'!$AE$2:$AG$12</definedName>
    <definedName name="BenchmarksRd1" localSheetId="5">'[1]Rd1 Broadford'!$AE$2:$AG$12</definedName>
    <definedName name="BenchmarksRd1" localSheetId="6">'[1]Rd1 Broadford'!$AE$2:$AG$12</definedName>
    <definedName name="BenchmarksRd1" localSheetId="7">'[1]Rd1 Broadford'!$AE$2:$AG$12</definedName>
    <definedName name="BenchmarksRd1">'Rd1 PI'!$AE$2:$AG$12</definedName>
    <definedName name="BenchmarksRd2" localSheetId="3">'Rd3 Winton IC'!$AE$2:$AH$12</definedName>
    <definedName name="BenchmarksRd2" localSheetId="4">'Rd4 Sandown'!$AE$2:$AG$12</definedName>
    <definedName name="BenchmarksRd2" localSheetId="5">'Rd5 Winton'!$AE$2:$AG$12</definedName>
    <definedName name="BenchmarksRd2" localSheetId="6">'Rd6 PI'!$AE$2:$AG$12</definedName>
    <definedName name="BenchmarksRd2" localSheetId="7">'Rd7 Winton'!$AE$2:$AG$12</definedName>
    <definedName name="BenchmarksRd2">'Rd2 Winton'!$AE$2:$AG$12</definedName>
    <definedName name="BenchmarksRd3" localSheetId="2">'Rd2 Winton'!$AE$2:$AG$12</definedName>
    <definedName name="BenchmarksRd3" localSheetId="3">'Rd3 Winton IC'!$AE$2:$AH$12</definedName>
    <definedName name="BenchmarksRd3" localSheetId="4">'Rd4 Sandown'!$AE$2:$AG$12</definedName>
    <definedName name="BenchmarksRd3" localSheetId="5">'Rd5 Winton'!$AE$2:$AG$12</definedName>
    <definedName name="BenchmarksRd3" localSheetId="6">'Rd6 PI'!$AE$2:$AG$12</definedName>
    <definedName name="BenchmarksRd3" localSheetId="7">'Rd7 Winton'!$AE$2:$AG$12</definedName>
    <definedName name="BenchmarksRd3">#REF!</definedName>
    <definedName name="BenchmarksRd4" localSheetId="1">'Rd1 PI'!$AE$2:$AG$21</definedName>
    <definedName name="BenchmarksRd4" localSheetId="2">'[1]Rd4 Sandown'!$AE$2:$AG$12</definedName>
    <definedName name="BenchmarksRd4" localSheetId="3">'[2]Rd4 Sandown'!$AE$2:$AG$12</definedName>
    <definedName name="BenchmarksRd4" localSheetId="4">'Rd4 Sandown'!$AE$2:$AG$12</definedName>
    <definedName name="BenchmarksRd4" localSheetId="5">'Rd5 Winton'!$AE$2:$AG$12</definedName>
    <definedName name="BenchmarksRd4" localSheetId="6">'Rd6 PI'!$AE$2:$AG$12</definedName>
    <definedName name="BenchmarksRd4" localSheetId="7">'Rd7 Winton'!$AE$2:$AG$12</definedName>
    <definedName name="BenchmarksRd4">#REF!</definedName>
    <definedName name="BenchmarksRd5" localSheetId="1">'Rd1 PI'!$AE$2:$AG$21</definedName>
    <definedName name="BenchmarksRd5" localSheetId="2">'[1]Rd5 Sandown'!$AE$2:$AG$12</definedName>
    <definedName name="BenchmarksRd5" localSheetId="3">'[2]Rd5 Sandown'!$AE$2:$AG$12</definedName>
    <definedName name="BenchmarksRd5" localSheetId="4">'[1]Rd5 Sandown'!$AE$2:$AG$12</definedName>
    <definedName name="BenchmarksRd5" localSheetId="5">'[1]Rd5 Sandown'!$AE$2:$AG$12</definedName>
    <definedName name="BenchmarksRd5" localSheetId="6">'[1]Rd5 Sandown'!$AE$2:$AG$12</definedName>
    <definedName name="BenchmarksRd5" localSheetId="7">'[1]Rd5 Sandown'!$AE$2:$AG$12</definedName>
    <definedName name="BenchmarksRd5">#REF!</definedName>
    <definedName name="BenchmarksRd6" localSheetId="1">'Rd1 PI'!$AE$2:$AG$12</definedName>
    <definedName name="BenchmarksRd6" localSheetId="2">'[1]Rd6 PI'!$AE$2:$AG$12</definedName>
    <definedName name="BenchmarksRd6" localSheetId="3">'[3]Rd6 PI'!$AE$2:$AG$12</definedName>
    <definedName name="BenchmarksRd6" localSheetId="4">'[1]Rd6 PI'!$AE$2:$AG$12</definedName>
    <definedName name="BenchmarksRd6" localSheetId="5">'[1]Rd6 PI'!$AE$2:$AG$12</definedName>
    <definedName name="BenchmarksRd6" localSheetId="6">'[1]Rd6 PI'!$AE$2:$AG$12</definedName>
    <definedName name="BenchmarksRd6" localSheetId="7">'[1]Rd6 PI'!$AE$2:$AG$12</definedName>
    <definedName name="BenchmarksRd6">#REF!</definedName>
    <definedName name="BenchmarksRd9" localSheetId="2">'[1]Rd9 SMSP'!$AE$2:$AG$12</definedName>
    <definedName name="BenchmarksRd9" localSheetId="3">'[3]Rd9 SMSP'!$AE$2:$AG$12</definedName>
    <definedName name="BenchmarksRd9" localSheetId="4">'[1]Rd9 SMSP'!$AE$2:$AG$12</definedName>
    <definedName name="BenchmarksRd9" localSheetId="5">'[1]Rd9 SMSP'!$AE$2:$AG$12</definedName>
    <definedName name="BenchmarksRd9" localSheetId="6">'[1]Rd9 SMSP'!$AE$2:$AG$12</definedName>
    <definedName name="BenchmarksRd9" localSheetId="7">'[1]Rd9 SMSP'!$AE$2:$AG$12</definedName>
    <definedName name="BenchmarksRd9">#REF!</definedName>
    <definedName name="Class" localSheetId="2">'[1]Championship Scoring'!$A$7:$D$18</definedName>
    <definedName name="Class" localSheetId="3">'[2]Championship Scoring'!$A$7:$D$18</definedName>
    <definedName name="Class" localSheetId="4">'[1]Championship Scoring'!$A$7:$D$18</definedName>
    <definedName name="Class" localSheetId="5">'[1]Championship Scoring'!$A$7:$D$18</definedName>
    <definedName name="Class" localSheetId="6">'[1]Championship Scoring'!$A$7:$D$18</definedName>
    <definedName name="Class" localSheetId="7">'[1]Championship Scoring'!$A$7:$D$18</definedName>
    <definedName name="Class">'Championship Scoring'!$A$7:$D$18</definedName>
    <definedName name="Class2018">'Championship Scoring'!$A$7:$D$18</definedName>
    <definedName name="Points" localSheetId="2">'[1]Championship Scoring'!$A$21:$B$31</definedName>
    <definedName name="Points" localSheetId="3">'[2]Championship Scoring'!$A$21:$B$31</definedName>
    <definedName name="Points" localSheetId="4">'[1]Championship Scoring'!$A$21:$B$31</definedName>
    <definedName name="Points" localSheetId="5">'[1]Championship Scoring'!$A$21:$B$31</definedName>
    <definedName name="Points" localSheetId="6">'[1]Championship Scoring'!$A$21:$B$31</definedName>
    <definedName name="Points" localSheetId="7">'[1]Championship Scoring'!$A$21:$B$31</definedName>
    <definedName name="Points">'Championship Scoring'!$A$21:$B$31</definedName>
    <definedName name="Points2018">'Championship Scoring'!$A$21:$B$31</definedName>
    <definedName name="Rank">#REF!</definedName>
    <definedName name="Rank2">#REF!</definedName>
  </definedNames>
  <calcPr fullCalcOnLoad="1"/>
</workbook>
</file>

<file path=xl/comments2.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3.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4.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5.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6.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7.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8.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sharedStrings.xml><?xml version="1.0" encoding="utf-8"?>
<sst xmlns="http://schemas.openxmlformats.org/spreadsheetml/2006/main" count="1392" uniqueCount="516">
  <si>
    <t>Place</t>
  </si>
  <si>
    <t>Driver</t>
  </si>
  <si>
    <t>Class</t>
  </si>
  <si>
    <t>SNA</t>
  </si>
  <si>
    <t>SNC</t>
  </si>
  <si>
    <t>SNB</t>
  </si>
  <si>
    <t>CLASS CHAMPIONSHIPS</t>
  </si>
  <si>
    <t>Standard NA</t>
  </si>
  <si>
    <t>Standard NB</t>
  </si>
  <si>
    <t>Standard NC</t>
  </si>
  <si>
    <t>Open</t>
  </si>
  <si>
    <t>Restricted Open</t>
  </si>
  <si>
    <t>Overall Points</t>
  </si>
  <si>
    <t>RES</t>
  </si>
  <si>
    <t>OPN</t>
  </si>
  <si>
    <t>·</t>
  </si>
  <si>
    <t>SMOD</t>
  </si>
  <si>
    <t>Super Modified</t>
  </si>
  <si>
    <t>NA Clubman</t>
  </si>
  <si>
    <t>NB Clubman</t>
  </si>
  <si>
    <t>Standard ND</t>
  </si>
  <si>
    <t>NBC</t>
  </si>
  <si>
    <t>NAC</t>
  </si>
  <si>
    <t>Car No</t>
  </si>
  <si>
    <t>Fastest Lap</t>
  </si>
  <si>
    <t>Posted in:</t>
  </si>
  <si>
    <t>-</t>
  </si>
  <si>
    <t># Entrants</t>
  </si>
  <si>
    <t>S25</t>
  </si>
  <si>
    <t>Tim</t>
  </si>
  <si>
    <t>MEADEN</t>
  </si>
  <si>
    <t>Noel</t>
  </si>
  <si>
    <t>HERITAGE</t>
  </si>
  <si>
    <t>Simeon</t>
  </si>
  <si>
    <t>OUZAS</t>
  </si>
  <si>
    <t>The Class Championship points score for a competitor is the sum of the points score from each round, omitting the competitor’s two worst results</t>
  </si>
  <si>
    <t>The Club Sprint Champion is the competitor who accrues the most overall Class Sprint Championship points for the season, with no dropped rounds</t>
  </si>
  <si>
    <t>The adjustment to awarded points for each round will be made as follows:</t>
  </si>
  <si>
    <t>Equal or better than Benchmark Time</t>
  </si>
  <si>
    <t>0.001s to 1.000s over Benchmark Time</t>
  </si>
  <si>
    <t>1.001s to 2.000s over Benchmark Time</t>
  </si>
  <si>
    <t>2.001s to 3.000s over Benchmark Time</t>
  </si>
  <si>
    <t>Greater than 3.000s over Benchmark Time</t>
  </si>
  <si>
    <t>+10pts</t>
  </si>
  <si>
    <t>+5pts</t>
  </si>
  <si>
    <t>+0pts</t>
  </si>
  <si>
    <t>-5pts</t>
  </si>
  <si>
    <t>-10pts</t>
  </si>
  <si>
    <t>NA/NB Modified</t>
  </si>
  <si>
    <t>NC/ND Modified</t>
  </si>
  <si>
    <t>SND</t>
  </si>
  <si>
    <t>ABMOD</t>
  </si>
  <si>
    <t>CDMOD</t>
  </si>
  <si>
    <t>Total Points</t>
  </si>
  <si>
    <t>S28</t>
  </si>
  <si>
    <t>S13</t>
  </si>
  <si>
    <t>S21</t>
  </si>
  <si>
    <t>Steve</t>
  </si>
  <si>
    <t>WILLIAMSZ</t>
  </si>
  <si>
    <t>PEDLEY</t>
  </si>
  <si>
    <t>Lap record</t>
  </si>
  <si>
    <t>secs off record</t>
  </si>
  <si>
    <t>Gareth</t>
  </si>
  <si>
    <t>Bmark Adjust</t>
  </si>
  <si>
    <t>Posn Pts</t>
  </si>
  <si>
    <t>Robert</t>
  </si>
  <si>
    <t>DOWNES</t>
  </si>
  <si>
    <t>S10</t>
  </si>
  <si>
    <t>S4</t>
  </si>
  <si>
    <t>S8</t>
  </si>
  <si>
    <t>Gavin</t>
  </si>
  <si>
    <t>NEWMAN</t>
  </si>
  <si>
    <t>Alan Conrad</t>
  </si>
  <si>
    <t>Tim Meaden</t>
  </si>
  <si>
    <t>Randy Stagno Navarra</t>
  </si>
  <si>
    <t>Noel Heritage</t>
  </si>
  <si>
    <t>Robert Downes</t>
  </si>
  <si>
    <t>Gareth Pedley</t>
  </si>
  <si>
    <t>Simeon Ouzas</t>
  </si>
  <si>
    <t>John Downes</t>
  </si>
  <si>
    <t>Steve Williamsz</t>
  </si>
  <si>
    <t>John</t>
  </si>
  <si>
    <t>Paul Ledwith</t>
  </si>
  <si>
    <t>Ray Monik</t>
  </si>
  <si>
    <t>S31</t>
  </si>
  <si>
    <t>S29</t>
  </si>
  <si>
    <t>S17</t>
  </si>
  <si>
    <t>S23</t>
  </si>
  <si>
    <t>Gavin Newman</t>
  </si>
  <si>
    <t>No of
Adj's</t>
  </si>
  <si>
    <t>Equal</t>
  </si>
  <si>
    <t>Code</t>
  </si>
  <si>
    <t>Description</t>
  </si>
  <si>
    <t>Rank</t>
  </si>
  <si>
    <t>After Adjustment</t>
  </si>
  <si>
    <t>Xclass
Adjust</t>
  </si>
  <si>
    <t>Score</t>
  </si>
  <si>
    <t>Posn</t>
  </si>
  <si>
    <t>Overall Pts</t>
  </si>
  <si>
    <t>Class Heirarchy</t>
  </si>
  <si>
    <t xml:space="preserve">Standard NA </t>
  </si>
  <si>
    <t xml:space="preserve">Standard NB </t>
  </si>
  <si>
    <t xml:space="preserve">NA Clubman </t>
  </si>
  <si>
    <t>Allocated Position Points</t>
  </si>
  <si>
    <t xml:space="preserve">Overall points are based on points scored within a class, including Cross-Class adjustments (so that each faster driver in a slower class will bump the faster class driver down one position in the points hierarchy allocation.) and Benchmark Time adjustments (+/- pts for relativity to Benchmark Time) </t>
  </si>
  <si>
    <t>Leon Bogers</t>
  </si>
  <si>
    <t>Russell Garner</t>
  </si>
  <si>
    <t>David Wilken</t>
  </si>
  <si>
    <t>Benchmark Times prior to event</t>
  </si>
  <si>
    <t>Peter Whitaker</t>
  </si>
  <si>
    <t>Ralph Thompson</t>
  </si>
  <si>
    <t>Max Lloyd</t>
  </si>
  <si>
    <t>Matthew Cavell</t>
  </si>
  <si>
    <t>Max</t>
  </si>
  <si>
    <t>LLOYD</t>
  </si>
  <si>
    <t>Travis McInnes</t>
  </si>
  <si>
    <t>Owen Boak</t>
  </si>
  <si>
    <t>S3</t>
  </si>
  <si>
    <t>MX5 Vic - MOTORSPORT CHAMPIONSHIP 2018</t>
  </si>
  <si>
    <t>1:52.8453</t>
  </si>
  <si>
    <t>1:54.3583</t>
  </si>
  <si>
    <t>1:54.9601</t>
  </si>
  <si>
    <t>1:58.8704</t>
  </si>
  <si>
    <t>John Vaughan</t>
  </si>
  <si>
    <t>1:59.0896</t>
  </si>
  <si>
    <t>1:59.4823</t>
  </si>
  <si>
    <t>2:00.2959</t>
  </si>
  <si>
    <t>2:00.6564</t>
  </si>
  <si>
    <t>2:01.7679</t>
  </si>
  <si>
    <t>2:02.0350</t>
  </si>
  <si>
    <t>2:03.8568</t>
  </si>
  <si>
    <t>2:04.7697</t>
  </si>
  <si>
    <t>2:05.1318</t>
  </si>
  <si>
    <t>David Adam</t>
  </si>
  <si>
    <t>2:05.4460</t>
  </si>
  <si>
    <t>S30</t>
  </si>
  <si>
    <t>2:05.5741</t>
  </si>
  <si>
    <t>2:08.4113</t>
  </si>
  <si>
    <t>2:12.0884</t>
  </si>
  <si>
    <t>Bartosz Dajnowski</t>
  </si>
  <si>
    <t>2:14.0231</t>
  </si>
  <si>
    <t>2:16.3143</t>
  </si>
  <si>
    <t>2:17.4758</t>
  </si>
  <si>
    <t>1. Phillip Island 20/1/18</t>
  </si>
  <si>
    <t>Russell</t>
  </si>
  <si>
    <t>GARNER</t>
  </si>
  <si>
    <t>VAUGHAN</t>
  </si>
  <si>
    <t>Matthew</t>
  </si>
  <si>
    <t>CAVELL</t>
  </si>
  <si>
    <t>2. Winton 4/3/18</t>
  </si>
  <si>
    <t>3. Winton 14/4/18 (I/C)</t>
  </si>
  <si>
    <t>4. Sandown 19/5/18</t>
  </si>
  <si>
    <t>5. Winton 9/6/18</t>
  </si>
  <si>
    <t>6. Phillip Island 30/6/18</t>
  </si>
  <si>
    <t>7. Winton 11/8/18</t>
  </si>
  <si>
    <t>8. Sandown 1/9/18</t>
  </si>
  <si>
    <t>10. Philliip Island 9/12/18</t>
  </si>
  <si>
    <t>9. Tasmania 3/11/18 &amp; 5/11/18</t>
  </si>
  <si>
    <t>1:55.6312</t>
  </si>
  <si>
    <t>1:57.6877</t>
  </si>
  <si>
    <t>2:00.5817</t>
  </si>
  <si>
    <t>2:02.8897</t>
  </si>
  <si>
    <t>Dave Moore</t>
  </si>
  <si>
    <t>1:36.5102</t>
  </si>
  <si>
    <t>New lap record</t>
  </si>
  <si>
    <t>S14</t>
  </si>
  <si>
    <t>S12</t>
  </si>
  <si>
    <t>1:43.1622</t>
  </si>
  <si>
    <t>S7</t>
  </si>
  <si>
    <t>Tim Emery</t>
  </si>
  <si>
    <t>1:44.6168</t>
  </si>
  <si>
    <t>S27</t>
  </si>
  <si>
    <t>1:45.3001</t>
  </si>
  <si>
    <t>John Reid</t>
  </si>
  <si>
    <t>Ian Vague</t>
  </si>
  <si>
    <t>S9</t>
  </si>
  <si>
    <t>S24</t>
  </si>
  <si>
    <t>Dean Watchorn</t>
  </si>
  <si>
    <t>S22</t>
  </si>
  <si>
    <t>Isaac Pittolo</t>
  </si>
  <si>
    <t>Kutay Dal</t>
  </si>
  <si>
    <t>Andrew Potter</t>
  </si>
  <si>
    <t>Lachlan Stephens</t>
  </si>
  <si>
    <t>Dean</t>
  </si>
  <si>
    <t>WATCHORN</t>
  </si>
  <si>
    <t>Paul</t>
  </si>
  <si>
    <t>LEDWITH</t>
  </si>
  <si>
    <t>Randy</t>
  </si>
  <si>
    <t>STAGNO NAVARRA</t>
  </si>
  <si>
    <t>Alan</t>
  </si>
  <si>
    <t>CONRAD</t>
  </si>
  <si>
    <t>David</t>
  </si>
  <si>
    <t>ADAM</t>
  </si>
  <si>
    <t>Ian</t>
  </si>
  <si>
    <t>VAGUE</t>
  </si>
  <si>
    <t>Kutay</t>
  </si>
  <si>
    <t>Dal</t>
  </si>
  <si>
    <t>Jarrah Pitt</t>
  </si>
  <si>
    <t>DAL</t>
  </si>
  <si>
    <t>Ray</t>
  </si>
  <si>
    <t>MONIK</t>
  </si>
  <si>
    <t>Fastest Lap LongTrack</t>
  </si>
  <si>
    <t>Fastest Lap ShortTrack</t>
  </si>
  <si>
    <t>Fastest Laps Combined</t>
  </si>
  <si>
    <t>Dean MONIK</t>
  </si>
  <si>
    <t>Alan CONRAD</t>
  </si>
  <si>
    <t>Robert DOWNES</t>
  </si>
  <si>
    <t>Leon BOGERS</t>
  </si>
  <si>
    <t>John REID</t>
  </si>
  <si>
    <t>Jarrah PITT</t>
  </si>
  <si>
    <t>Steve WILLIAMSZ</t>
  </si>
  <si>
    <t>Ray MONIK</t>
  </si>
  <si>
    <t>Simeon OUZAS</t>
  </si>
  <si>
    <t>Gavin NEWMAN</t>
  </si>
  <si>
    <t>n/a</t>
  </si>
  <si>
    <t>MX5 NSW</t>
  </si>
  <si>
    <t>Russell GARNER</t>
  </si>
  <si>
    <t>MX5 Vic</t>
  </si>
  <si>
    <t>1:36.293</t>
  </si>
  <si>
    <t>Paul LEDWITH</t>
  </si>
  <si>
    <t>1:36.7524</t>
  </si>
  <si>
    <t>1:37.2955</t>
  </si>
  <si>
    <t>David LAWLER</t>
  </si>
  <si>
    <t>1:38.8591</t>
  </si>
  <si>
    <t>Russell MAXWELL</t>
  </si>
  <si>
    <t>1:38.9551</t>
  </si>
  <si>
    <t>Ralph THOMPSON</t>
  </si>
  <si>
    <t>1:38.9572</t>
  </si>
  <si>
    <t>1:39.0586</t>
  </si>
  <si>
    <t>1:39.3989</t>
  </si>
  <si>
    <t>Kim COLE</t>
  </si>
  <si>
    <t>1:39.4252</t>
  </si>
  <si>
    <t>Dean WATCHORN</t>
  </si>
  <si>
    <t>1:39.6604</t>
  </si>
  <si>
    <t>1:40.2613</t>
  </si>
  <si>
    <t>Tim MEADEN</t>
  </si>
  <si>
    <t>1:40.4112</t>
  </si>
  <si>
    <t>Robert PARR</t>
  </si>
  <si>
    <t>1:40.7676</t>
  </si>
  <si>
    <t>Dean HASNAT</t>
  </si>
  <si>
    <t>1:41.2352</t>
  </si>
  <si>
    <t>Gustavo ELIAS</t>
  </si>
  <si>
    <t>1:41.4772</t>
  </si>
  <si>
    <t>Dennis CHISWICK</t>
  </si>
  <si>
    <t>1:41.6129</t>
  </si>
  <si>
    <t>Malcolm STEEL</t>
  </si>
  <si>
    <t>1:41.6405</t>
  </si>
  <si>
    <t>Luke KOVACIC</t>
  </si>
  <si>
    <t>1:42.9207</t>
  </si>
  <si>
    <t>1:43.1353</t>
  </si>
  <si>
    <t>Ian COMBES</t>
  </si>
  <si>
    <t>1:44.1950</t>
  </si>
  <si>
    <t>Andrew DIGNEY</t>
  </si>
  <si>
    <t>1:44.3612</t>
  </si>
  <si>
    <t>Paul NUDD</t>
  </si>
  <si>
    <t>1:45.3190</t>
  </si>
  <si>
    <t>Hung DO</t>
  </si>
  <si>
    <t>1:45.3924</t>
  </si>
  <si>
    <t>Noel HERITAGE</t>
  </si>
  <si>
    <t>1:46.1235</t>
  </si>
  <si>
    <t>1:46.1490</t>
  </si>
  <si>
    <t>Matt BROGAN</t>
  </si>
  <si>
    <t>1:46.7081</t>
  </si>
  <si>
    <t>1:46.7761</t>
  </si>
  <si>
    <t>Brock WATCHORN</t>
  </si>
  <si>
    <t>1:47.1007</t>
  </si>
  <si>
    <t>Max LLOYD</t>
  </si>
  <si>
    <t>1:47.2521</t>
  </si>
  <si>
    <t>Deen HAMEED</t>
  </si>
  <si>
    <t>1:47.2936</t>
  </si>
  <si>
    <t>Murray SEYMOUR</t>
  </si>
  <si>
    <t>1:47.9709</t>
  </si>
  <si>
    <t>1:48.1725</t>
  </si>
  <si>
    <t>Andrew TATE</t>
  </si>
  <si>
    <t>1:48.2552</t>
  </si>
  <si>
    <t>Malcolm FOTHERINGHAM</t>
  </si>
  <si>
    <t>1:48.3217</t>
  </si>
  <si>
    <t>1:49.2538</t>
  </si>
  <si>
    <t>1:49.3762</t>
  </si>
  <si>
    <t>1:49.5188</t>
  </si>
  <si>
    <t>Jamie MARTIN</t>
  </si>
  <si>
    <t>1:49.9447</t>
  </si>
  <si>
    <t>Michael DEMAIO</t>
  </si>
  <si>
    <t>1:50.4321</t>
  </si>
  <si>
    <t>Peter FEUTRILL</t>
  </si>
  <si>
    <t>1:50.5673</t>
  </si>
  <si>
    <t>Allan GIBSON</t>
  </si>
  <si>
    <t>1:51.2429</t>
  </si>
  <si>
    <t>John DOWNES</t>
  </si>
  <si>
    <t>1:51.4895</t>
  </si>
  <si>
    <t>Ajith PERERA</t>
  </si>
  <si>
    <t>1:51.6495</t>
  </si>
  <si>
    <t>Sean BYERS</t>
  </si>
  <si>
    <t>1:51.8372</t>
  </si>
  <si>
    <t>Graham FLETCHER</t>
  </si>
  <si>
    <t>1:52.3835</t>
  </si>
  <si>
    <t>Tim van DUYL</t>
  </si>
  <si>
    <t>1:52.8930</t>
  </si>
  <si>
    <t>Kutay DAL</t>
  </si>
  <si>
    <t>1:53.1491</t>
  </si>
  <si>
    <t>Gregory UNGER</t>
  </si>
  <si>
    <t>1:55.4081</t>
  </si>
  <si>
    <t>Keith MONAGHAN</t>
  </si>
  <si>
    <t>1:55.7458</t>
  </si>
  <si>
    <t>Peter WHITAKER</t>
  </si>
  <si>
    <t>1:56.5480</t>
  </si>
  <si>
    <t>Jamie COLLINS</t>
  </si>
  <si>
    <t>1:57.3284</t>
  </si>
  <si>
    <t>Daryl ERVINE</t>
  </si>
  <si>
    <t>1:58.7854</t>
  </si>
  <si>
    <t>Geoff PITT</t>
  </si>
  <si>
    <t>1:59.3080</t>
  </si>
  <si>
    <t>Joe KOVACIC</t>
  </si>
  <si>
    <t>2:01.1139</t>
  </si>
  <si>
    <t>1:18.3302</t>
  </si>
  <si>
    <t>1:18.9730</t>
  </si>
  <si>
    <t>1:19.2481</t>
  </si>
  <si>
    <t>1:19.913</t>
  </si>
  <si>
    <t>1:21.3288</t>
  </si>
  <si>
    <t>1:21.4090</t>
  </si>
  <si>
    <t>1:21.7388</t>
  </si>
  <si>
    <t>1:22.4769</t>
  </si>
  <si>
    <t>1:22.9798</t>
  </si>
  <si>
    <t>1:23.0312</t>
  </si>
  <si>
    <t>1:23.3799</t>
  </si>
  <si>
    <t xml:space="preserve">Ben OLDFIELD </t>
  </si>
  <si>
    <t>1:23.3927</t>
  </si>
  <si>
    <t>1:23.4202</t>
  </si>
  <si>
    <t>1:23.6370</t>
  </si>
  <si>
    <t>1:23.7407</t>
  </si>
  <si>
    <t>1:24.4869</t>
  </si>
  <si>
    <t>1:24.5459</t>
  </si>
  <si>
    <t>1:24.8480</t>
  </si>
  <si>
    <t>1:24.8682</t>
  </si>
  <si>
    <t>1:25.3263</t>
  </si>
  <si>
    <t>1:25.3648</t>
  </si>
  <si>
    <t>1:25.4195</t>
  </si>
  <si>
    <t>1:25.5503</t>
  </si>
  <si>
    <t>1:25.5710</t>
  </si>
  <si>
    <t>1:25.7360</t>
  </si>
  <si>
    <t>1:26.0022</t>
  </si>
  <si>
    <t>1:26.1099</t>
  </si>
  <si>
    <t>1:26.2895</t>
  </si>
  <si>
    <t>1:26.4189</t>
  </si>
  <si>
    <t>1:26.6026</t>
  </si>
  <si>
    <t>1:27.5690</t>
  </si>
  <si>
    <t>1:27.7060</t>
  </si>
  <si>
    <t>1:29.2191</t>
  </si>
  <si>
    <t>1:29.2998</t>
  </si>
  <si>
    <t>1:29.5375</t>
  </si>
  <si>
    <t>1:30.4385</t>
  </si>
  <si>
    <t>1:32.2078</t>
  </si>
  <si>
    <t>1:32.9159</t>
  </si>
  <si>
    <t>1:33.2853</t>
  </si>
  <si>
    <t>1:34.4664</t>
  </si>
  <si>
    <t>1:34.7402</t>
  </si>
  <si>
    <t>1:35.2040</t>
  </si>
  <si>
    <t>1:35.9105</t>
  </si>
  <si>
    <t>1:37.8192</t>
  </si>
  <si>
    <t>1:39.6294</t>
  </si>
  <si>
    <t>1:44.0768</t>
  </si>
  <si>
    <t>1:45.1702</t>
  </si>
  <si>
    <t>1:45.9640</t>
  </si>
  <si>
    <t>1:46.4094</t>
  </si>
  <si>
    <t>1:47.0780</t>
  </si>
  <si>
    <t>1:48.9407</t>
  </si>
  <si>
    <t>N/A</t>
  </si>
  <si>
    <t>Randy STAGNO NAVARRA</t>
  </si>
  <si>
    <t>Daryl</t>
  </si>
  <si>
    <t>Ervine</t>
  </si>
  <si>
    <t>ERVINE</t>
  </si>
  <si>
    <t>Kim</t>
  </si>
  <si>
    <t>COLE</t>
  </si>
  <si>
    <t>PARR</t>
  </si>
  <si>
    <t>Hung</t>
  </si>
  <si>
    <t>DO</t>
  </si>
  <si>
    <t>BROGAN</t>
  </si>
  <si>
    <t>Matt</t>
  </si>
  <si>
    <t>REID</t>
  </si>
  <si>
    <t>Brendan Beavis</t>
  </si>
  <si>
    <t>1:21.6522</t>
  </si>
  <si>
    <t>Dean Monik</t>
  </si>
  <si>
    <t>1:27.0472</t>
  </si>
  <si>
    <t>1:27.5404</t>
  </si>
  <si>
    <t>1:29.1484</t>
  </si>
  <si>
    <t>S15</t>
  </si>
  <si>
    <t>1:29.8012</t>
  </si>
  <si>
    <t>1:31.3621</t>
  </si>
  <si>
    <t>1:31.4495</t>
  </si>
  <si>
    <t>1:32.3068</t>
  </si>
  <si>
    <t>Justin Reynolds</t>
  </si>
  <si>
    <t>1:35.0621</t>
  </si>
  <si>
    <t>S11</t>
  </si>
  <si>
    <t>Matt Brogan</t>
  </si>
  <si>
    <t>1:35.0633</t>
  </si>
  <si>
    <t>1:35.7664</t>
  </si>
  <si>
    <t>1:35.9776</t>
  </si>
  <si>
    <t>1:36.0471</t>
  </si>
  <si>
    <t>1:36.0584</t>
  </si>
  <si>
    <t>1:36.3280</t>
  </si>
  <si>
    <t>1:37.7824</t>
  </si>
  <si>
    <t>Murray Seymour</t>
  </si>
  <si>
    <t>1:37.8929</t>
  </si>
  <si>
    <t>1:38.2266</t>
  </si>
  <si>
    <t>Greg Whyte</t>
  </si>
  <si>
    <t>1:38.6894</t>
  </si>
  <si>
    <t>1:39.0321</t>
  </si>
  <si>
    <t>Eden Beavis</t>
  </si>
  <si>
    <t>1:39.2082</t>
  </si>
  <si>
    <t>S19</t>
  </si>
  <si>
    <t>Tim Van Duyl</t>
  </si>
  <si>
    <t>1:39.3514</t>
  </si>
  <si>
    <t>1:39.9529</t>
  </si>
  <si>
    <t>1:40.1349</t>
  </si>
  <si>
    <t>S26</t>
  </si>
  <si>
    <t>1:40.5232</t>
  </si>
  <si>
    <t>1:42.2940</t>
  </si>
  <si>
    <t>Simon Acfield</t>
  </si>
  <si>
    <t>1:44.1230</t>
  </si>
  <si>
    <t>Travis Abreu</t>
  </si>
  <si>
    <t>1:49.0781</t>
  </si>
  <si>
    <t>Michael Williams</t>
  </si>
  <si>
    <t>1:51.4449</t>
  </si>
  <si>
    <t>James Sanderson</t>
  </si>
  <si>
    <t>Robert Hart</t>
  </si>
  <si>
    <t>Peter Phillips</t>
  </si>
  <si>
    <t>Steven Cook</t>
  </si>
  <si>
    <t>Brendan</t>
  </si>
  <si>
    <t>BEAVIS</t>
  </si>
  <si>
    <t>Jarrah</t>
  </si>
  <si>
    <t>PITT</t>
  </si>
  <si>
    <t>Murray</t>
  </si>
  <si>
    <t>SEYMOUR</t>
  </si>
  <si>
    <t>1:06.6246</t>
  </si>
  <si>
    <t>1:09.0900</t>
  </si>
  <si>
    <t>Steve Schreck</t>
  </si>
  <si>
    <t>1:09.4779</t>
  </si>
  <si>
    <t>1:10.1969</t>
  </si>
  <si>
    <t>1:12.2251</t>
  </si>
  <si>
    <t>1:12.3326</t>
  </si>
  <si>
    <t>1:12.6069</t>
  </si>
  <si>
    <t>1:12.8438</t>
  </si>
  <si>
    <t>Peter Marks</t>
  </si>
  <si>
    <t>1:13.4683</t>
  </si>
  <si>
    <t>1:13.8450</t>
  </si>
  <si>
    <t>1:14.6932</t>
  </si>
  <si>
    <t>1:14.7313</t>
  </si>
  <si>
    <t>1:14.9232</t>
  </si>
  <si>
    <t>1:16.3268</t>
  </si>
  <si>
    <t>Tom Whelan</t>
  </si>
  <si>
    <t>1:15.1770</t>
  </si>
  <si>
    <t>Dean Hasnat</t>
  </si>
  <si>
    <t>Daniel White</t>
  </si>
  <si>
    <t>1:50.5549</t>
  </si>
  <si>
    <t>1:51.2734</t>
  </si>
  <si>
    <t>1:55.6823</t>
  </si>
  <si>
    <t>1:56.7361</t>
  </si>
  <si>
    <t>2:01.3222</t>
  </si>
  <si>
    <t>2:01.4142</t>
  </si>
  <si>
    <t>Hung Do</t>
  </si>
  <si>
    <t>2:01.9709</t>
  </si>
  <si>
    <t>2:02.2639</t>
  </si>
  <si>
    <t>2:02.6255</t>
  </si>
  <si>
    <t>2:03.5398</t>
  </si>
  <si>
    <t>2:03.5612</t>
  </si>
  <si>
    <t>2:03.7920</t>
  </si>
  <si>
    <t>2:04.3714</t>
  </si>
  <si>
    <t>Steven Cassar</t>
  </si>
  <si>
    <t>2:04.5466</t>
  </si>
  <si>
    <t>2:04.9992</t>
  </si>
  <si>
    <t>2:06.7982</t>
  </si>
  <si>
    <t>Sean Kent</t>
  </si>
  <si>
    <t>2:06.9544</t>
  </si>
  <si>
    <t>2:07.4410</t>
  </si>
  <si>
    <t>Brock Watchorn</t>
  </si>
  <si>
    <t>2:08.2084</t>
  </si>
  <si>
    <t>2:08.6153</t>
  </si>
  <si>
    <t>2:10.7440</t>
  </si>
  <si>
    <t>2:10.8795</t>
  </si>
  <si>
    <t>Michael Lyons</t>
  </si>
  <si>
    <t>2:12.7023</t>
  </si>
  <si>
    <t>2:12.7418</t>
  </si>
  <si>
    <t>2:15.8974</t>
  </si>
  <si>
    <t>1:35.5897</t>
  </si>
  <si>
    <t>S18</t>
  </si>
  <si>
    <t>1:37.3194</t>
  </si>
  <si>
    <t>1:40.3008</t>
  </si>
  <si>
    <t>S20</t>
  </si>
  <si>
    <t>1:43.1809</t>
  </si>
  <si>
    <t>1:43.9485</t>
  </si>
  <si>
    <t>1:45.1462</t>
  </si>
  <si>
    <t>1:45.4797</t>
  </si>
  <si>
    <t>1:46.3333</t>
  </si>
  <si>
    <t>leon bogers</t>
  </si>
  <si>
    <t>1:46.6189</t>
  </si>
  <si>
    <t>1:47.6680</t>
  </si>
  <si>
    <t>1:47.8223</t>
  </si>
  <si>
    <t>1:48.9124</t>
  </si>
  <si>
    <t>1:48.9169</t>
  </si>
  <si>
    <t>Tim van Dul</t>
  </si>
  <si>
    <t>1:49.4638</t>
  </si>
  <si>
    <t>Andrew Clayton</t>
  </si>
  <si>
    <t>1:50.8709</t>
  </si>
  <si>
    <t>S16</t>
  </si>
  <si>
    <t>1:52.4913</t>
  </si>
  <si>
    <t>Daryl Ervine</t>
  </si>
  <si>
    <t>1:58.6926</t>
  </si>
  <si>
    <t>Stuart Dawson</t>
  </si>
  <si>
    <t>1:59.0962</t>
  </si>
  <si>
    <t>HRISTOS ALCEFSKI</t>
  </si>
  <si>
    <t>2:08.2678</t>
  </si>
  <si>
    <t>New Lap record</t>
  </si>
  <si>
    <t>Stuart</t>
  </si>
  <si>
    <t>DAWSON</t>
  </si>
  <si>
    <t>Simon</t>
  </si>
  <si>
    <t>ACFIELD</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</si>
</sst>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ss.00"/>
    <numFmt numFmtId="173" formatCode="m:ss.00"/>
    <numFmt numFmtId="174" formatCode="mmm\-yyyy"/>
    <numFmt numFmtId="175" formatCode="&quot;Yes&quot;;&quot;Yes&quot;;&quot;No&quot;"/>
    <numFmt numFmtId="176" formatCode="&quot;True&quot;;&quot;True&quot;;&quot;False&quot;"/>
    <numFmt numFmtId="177" formatCode="&quot;On&quot;;&quot;On&quot;;&quot;Off&quot;"/>
    <numFmt numFmtId="178" formatCode="ss.00"/>
    <numFmt numFmtId="179" formatCode="m:ss.000"/>
    <numFmt numFmtId="180" formatCode="0.000"/>
    <numFmt numFmtId="181" formatCode="[$€-2]\ #,##0.00_);[Red]\([$€-2]\ #,##0.00\)"/>
    <numFmt numFmtId="182" formatCode="#,##0.0000"/>
    <numFmt numFmtId="183" formatCode="[$-409]h:mm:ss\ AM/PM"/>
    <numFmt numFmtId="184" formatCode="hh:mm:ss;@"/>
    <numFmt numFmtId="185" formatCode="mm:ss.000"/>
    <numFmt numFmtId="186" formatCode="[$-C09]dddd\,\ d\ mmmm\ yyyy"/>
    <numFmt numFmtId="187" formatCode="0.0"/>
    <numFmt numFmtId="188" formatCode="d/mm/yy;@"/>
  </numFmts>
  <fonts count="51">
    <font>
      <sz val="10"/>
      <name val="Arial"/>
      <family val="0"/>
    </font>
    <font>
      <u val="single"/>
      <sz val="10"/>
      <color indexed="36"/>
      <name val="Arial"/>
      <family val="2"/>
    </font>
    <font>
      <u val="single"/>
      <sz val="10"/>
      <color indexed="12"/>
      <name val="Arial"/>
      <family val="2"/>
    </font>
    <font>
      <sz val="8"/>
      <name val="Arial"/>
      <family val="2"/>
    </font>
    <font>
      <b/>
      <u val="single"/>
      <sz val="12"/>
      <name val="Arial"/>
      <family val="2"/>
    </font>
    <font>
      <b/>
      <sz val="10"/>
      <name val="Arial"/>
      <family val="2"/>
    </font>
    <font>
      <b/>
      <u val="single"/>
      <sz val="10"/>
      <name val="Arial"/>
      <family val="2"/>
    </font>
    <font>
      <sz val="10"/>
      <name val="Symbol"/>
      <family val="1"/>
    </font>
    <font>
      <sz val="10"/>
      <color indexed="17"/>
      <name val="Arial"/>
      <family val="2"/>
    </font>
    <font>
      <sz val="11"/>
      <name val="Calibri"/>
      <family val="2"/>
    </font>
    <font>
      <b/>
      <sz val="11"/>
      <name val="Calibri"/>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sz val="10"/>
      <color rgb="FFFF0000"/>
      <name val="Arial"/>
      <family val="2"/>
    </font>
    <font>
      <b/>
      <sz val="8"/>
      <name val="Arial"/>
      <family val="2"/>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3" tint="0.5999900102615356"/>
        <bgColor indexed="64"/>
      </patternFill>
    </fill>
    <fill>
      <patternFill patternType="solid">
        <fgColor rgb="FF92D050"/>
        <bgColor indexed="64"/>
      </patternFill>
    </fill>
    <fill>
      <patternFill patternType="solid">
        <fgColor theme="7" tint="0.39998000860214233"/>
        <bgColor indexed="64"/>
      </patternFill>
    </fill>
    <fill>
      <patternFill patternType="solid">
        <fgColor theme="6" tint="0.39998000860214233"/>
        <bgColor indexed="64"/>
      </patternFill>
    </fill>
    <fill>
      <patternFill patternType="solid">
        <fgColor theme="3" tint="0.39998000860214233"/>
        <bgColor indexed="64"/>
      </patternFill>
    </fill>
    <fill>
      <patternFill patternType="solid">
        <fgColor theme="9" tint="0.39998000860214233"/>
        <bgColor indexed="64"/>
      </patternFill>
    </fill>
    <fill>
      <patternFill patternType="solid">
        <fgColor rgb="FFFFFF66"/>
        <bgColor indexed="64"/>
      </patternFill>
    </fill>
    <fill>
      <patternFill patternType="solid">
        <fgColor indexed="22"/>
        <bgColor indexed="64"/>
      </patternFill>
    </fill>
    <fill>
      <patternFill patternType="solid">
        <fgColor theme="3" tint="0.7999799847602844"/>
        <bgColor indexed="64"/>
      </patternFill>
    </fill>
    <fill>
      <patternFill patternType="solid">
        <fgColor rgb="FFFFFF99"/>
        <bgColor indexed="64"/>
      </patternFill>
    </fill>
    <fill>
      <patternFill patternType="solid">
        <fgColor theme="7" tint="0.7999799847602844"/>
        <bgColor indexed="64"/>
      </patternFill>
    </fill>
    <fill>
      <patternFill patternType="solid">
        <fgColor theme="4" tint="0.7999799847602844"/>
        <bgColor indexed="64"/>
      </patternFill>
    </fill>
    <fill>
      <patternFill patternType="solid">
        <fgColor theme="6" tint="0.5999900102615356"/>
        <bgColor indexed="64"/>
      </patternFill>
    </fill>
    <fill>
      <patternFill patternType="solid">
        <fgColor theme="2" tint="-0.24997000396251678"/>
        <bgColor indexed="64"/>
      </patternFill>
    </fill>
    <fill>
      <patternFill patternType="solid">
        <fgColor indexed="51"/>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style="medium"/>
    </border>
    <border>
      <left style="thin">
        <color theme="0" tint="-0.24993999302387238"/>
      </left>
      <right style="thin">
        <color theme="0" tint="-0.24993999302387238"/>
      </right>
      <top style="thin">
        <color theme="0" tint="-0.24993999302387238"/>
      </top>
      <bottom style="thin">
        <color theme="0" tint="-0.24993999302387238"/>
      </bottom>
    </border>
    <border>
      <left style="medium"/>
      <right style="medium"/>
      <top style="medium"/>
      <bottom style="medium"/>
    </border>
    <border>
      <left/>
      <right/>
      <top style="medium"/>
      <bottom style="medium"/>
    </border>
    <border>
      <left>
        <color indexed="63"/>
      </left>
      <right style="medium"/>
      <top style="medium"/>
      <bottom style="medium"/>
    </border>
    <border>
      <left>
        <color indexed="63"/>
      </left>
      <right style="medium">
        <color rgb="FF000000"/>
      </right>
      <top style="medium">
        <color rgb="FF000000"/>
      </top>
      <bottom style="medium">
        <color rgb="FF000000"/>
      </bottom>
    </border>
    <border>
      <left>
        <color indexed="63"/>
      </left>
      <right style="medium">
        <color rgb="FF000000"/>
      </right>
      <top>
        <color indexed="63"/>
      </top>
      <bottom style="medium">
        <color rgb="FF000000"/>
      </bottom>
    </border>
    <border>
      <left style="thin"/>
      <right>
        <color indexed="63"/>
      </right>
      <top>
        <color indexed="63"/>
      </top>
      <bottom>
        <color indexed="63"/>
      </bottom>
    </border>
    <border>
      <left style="medium"/>
      <right/>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style="thin"/>
      <right>
        <color indexed="63"/>
      </right>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28"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9" borderId="1" applyNumberFormat="0" applyAlignment="0" applyProtection="0"/>
    <xf numFmtId="0" fontId="42" fillId="0" borderId="6" applyNumberFormat="0" applyFill="0" applyAlignment="0" applyProtection="0"/>
    <xf numFmtId="0" fontId="43"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44" fillId="26"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69">
    <xf numFmtId="0" fontId="0" fillId="0" borderId="0" xfId="0" applyAlignment="1">
      <alignment/>
    </xf>
    <xf numFmtId="0" fontId="0" fillId="0" borderId="0" xfId="0" applyBorder="1" applyAlignment="1">
      <alignment/>
    </xf>
    <xf numFmtId="0" fontId="5" fillId="0" borderId="0" xfId="0" applyFont="1" applyBorder="1" applyAlignment="1">
      <alignment horizontal="center"/>
    </xf>
    <xf numFmtId="0" fontId="5" fillId="0" borderId="0" xfId="0" applyFont="1" applyFill="1" applyBorder="1" applyAlignment="1" quotePrefix="1">
      <alignment horizontal="center"/>
    </xf>
    <xf numFmtId="0" fontId="0" fillId="0" borderId="0" xfId="0" applyFont="1" applyFill="1" applyBorder="1" applyAlignment="1">
      <alignment horizontal="center"/>
    </xf>
    <xf numFmtId="0" fontId="0" fillId="0" borderId="0" xfId="0" applyFill="1" applyBorder="1" applyAlignment="1">
      <alignment/>
    </xf>
    <xf numFmtId="49" fontId="0" fillId="0" borderId="0" xfId="0" applyNumberFormat="1" applyFill="1" applyBorder="1" applyAlignment="1">
      <alignment/>
    </xf>
    <xf numFmtId="49" fontId="0" fillId="0" borderId="0" xfId="0" applyNumberFormat="1" applyFill="1" applyBorder="1" applyAlignment="1">
      <alignment horizontal="center"/>
    </xf>
    <xf numFmtId="0" fontId="0" fillId="0" borderId="0" xfId="0" applyBorder="1" applyAlignment="1">
      <alignment horizontal="center"/>
    </xf>
    <xf numFmtId="0" fontId="0" fillId="0" borderId="0" xfId="0" applyFill="1" applyAlignment="1">
      <alignment wrapText="1"/>
    </xf>
    <xf numFmtId="0" fontId="4" fillId="0" borderId="0" xfId="0" applyFont="1" applyBorder="1" applyAlignment="1">
      <alignment/>
    </xf>
    <xf numFmtId="49" fontId="0" fillId="0" borderId="0" xfId="0" applyNumberFormat="1" applyBorder="1" applyAlignment="1">
      <alignment/>
    </xf>
    <xf numFmtId="0" fontId="0" fillId="0" borderId="0" xfId="0" applyFill="1" applyBorder="1" applyAlignment="1">
      <alignment horizontal="center"/>
    </xf>
    <xf numFmtId="0" fontId="5" fillId="0" borderId="0" xfId="0" applyFont="1" applyFill="1" applyBorder="1" applyAlignment="1">
      <alignment horizontal="center"/>
    </xf>
    <xf numFmtId="179" fontId="0" fillId="0" borderId="0" xfId="0" applyNumberFormat="1" applyFill="1" applyBorder="1" applyAlignment="1">
      <alignment/>
    </xf>
    <xf numFmtId="179" fontId="0" fillId="0" borderId="0" xfId="0" applyNumberFormat="1" applyFill="1" applyBorder="1" applyAlignment="1">
      <alignment horizontal="center"/>
    </xf>
    <xf numFmtId="0" fontId="6" fillId="0" borderId="0" xfId="0" applyFont="1" applyBorder="1" applyAlignment="1">
      <alignment/>
    </xf>
    <xf numFmtId="49" fontId="0" fillId="0" borderId="0" xfId="0" applyNumberFormat="1" applyBorder="1" applyAlignment="1">
      <alignment horizontal="center"/>
    </xf>
    <xf numFmtId="0" fontId="0" fillId="0" borderId="0" xfId="0" applyFont="1" applyBorder="1" applyAlignment="1">
      <alignment horizontal="left" vertical="top" wrapText="1"/>
    </xf>
    <xf numFmtId="179" fontId="0" fillId="0" borderId="0" xfId="0" applyNumberFormat="1" applyBorder="1" applyAlignment="1">
      <alignment horizontal="center"/>
    </xf>
    <xf numFmtId="0" fontId="0" fillId="0" borderId="0" xfId="0" applyFont="1" applyBorder="1" applyAlignment="1">
      <alignment horizontal="center"/>
    </xf>
    <xf numFmtId="49" fontId="0" fillId="0" borderId="0" xfId="0" applyNumberFormat="1" applyFont="1" applyBorder="1" applyAlignment="1">
      <alignment/>
    </xf>
    <xf numFmtId="0" fontId="0" fillId="0" borderId="0" xfId="0" applyFill="1" applyAlignment="1">
      <alignment/>
    </xf>
    <xf numFmtId="0" fontId="0" fillId="0" borderId="0" xfId="0" applyFill="1" applyAlignment="1">
      <alignment horizontal="center"/>
    </xf>
    <xf numFmtId="0" fontId="5" fillId="0" borderId="0" xfId="0" applyNumberFormat="1" applyFont="1" applyFill="1" applyBorder="1" applyAlignment="1">
      <alignment horizontal="center"/>
    </xf>
    <xf numFmtId="0" fontId="5" fillId="0" borderId="0" xfId="0" applyNumberFormat="1" applyFont="1" applyBorder="1" applyAlignment="1">
      <alignment horizontal="center"/>
    </xf>
    <xf numFmtId="0" fontId="0" fillId="0" borderId="10" xfId="0" applyFont="1" applyBorder="1" applyAlignment="1">
      <alignment horizontal="center" textRotation="90"/>
    </xf>
    <xf numFmtId="0" fontId="0" fillId="0" borderId="10" xfId="0" applyBorder="1" applyAlignment="1">
      <alignment textRotation="90"/>
    </xf>
    <xf numFmtId="0" fontId="0" fillId="0" borderId="0" xfId="0" applyFont="1" applyFill="1" applyBorder="1" applyAlignment="1">
      <alignment horizontal="center"/>
    </xf>
    <xf numFmtId="0" fontId="5" fillId="0" borderId="0" xfId="0" applyFont="1" applyBorder="1" applyAlignment="1" quotePrefix="1">
      <alignment horizontal="center"/>
    </xf>
    <xf numFmtId="0" fontId="5"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7" fillId="0" borderId="0" xfId="0" applyFont="1" applyAlignment="1">
      <alignment horizontal="center" vertical="top"/>
    </xf>
    <xf numFmtId="0" fontId="0" fillId="0" borderId="0" xfId="0" applyAlignment="1">
      <alignment horizontal="center" vertical="top"/>
    </xf>
    <xf numFmtId="0" fontId="0" fillId="32" borderId="0" xfId="0" applyFill="1" applyBorder="1" applyAlignment="1">
      <alignment/>
    </xf>
    <xf numFmtId="0" fontId="0" fillId="32" borderId="0" xfId="0" applyFill="1" applyBorder="1" applyAlignment="1">
      <alignment horizontal="center"/>
    </xf>
    <xf numFmtId="0" fontId="5" fillId="33" borderId="0" xfId="0" applyFont="1" applyFill="1" applyBorder="1" applyAlignment="1" quotePrefix="1">
      <alignment horizontal="center"/>
    </xf>
    <xf numFmtId="0" fontId="0" fillId="33" borderId="0" xfId="0" applyFill="1" applyAlignment="1">
      <alignment horizontal="center"/>
    </xf>
    <xf numFmtId="0" fontId="0" fillId="33" borderId="0" xfId="0" applyFont="1" applyFill="1" applyBorder="1" applyAlignment="1">
      <alignment horizontal="center"/>
    </xf>
    <xf numFmtId="0" fontId="6" fillId="33" borderId="0" xfId="0" applyFont="1" applyFill="1" applyBorder="1" applyAlignment="1">
      <alignment/>
    </xf>
    <xf numFmtId="49" fontId="0" fillId="33" borderId="0" xfId="0" applyNumberFormat="1" applyFill="1" applyBorder="1" applyAlignment="1">
      <alignment horizontal="center"/>
    </xf>
    <xf numFmtId="0" fontId="5" fillId="32" borderId="0" xfId="0" applyFont="1" applyFill="1" applyBorder="1" applyAlignment="1" quotePrefix="1">
      <alignment horizontal="center"/>
    </xf>
    <xf numFmtId="0" fontId="0" fillId="32" borderId="0" xfId="0" applyFont="1" applyFill="1" applyBorder="1" applyAlignment="1">
      <alignment horizontal="center"/>
    </xf>
    <xf numFmtId="0" fontId="5" fillId="32" borderId="0" xfId="0" applyFont="1" applyFill="1" applyBorder="1" applyAlignment="1">
      <alignment horizontal="center"/>
    </xf>
    <xf numFmtId="0" fontId="6" fillId="32" borderId="0" xfId="0" applyFont="1" applyFill="1" applyBorder="1" applyAlignment="1">
      <alignment/>
    </xf>
    <xf numFmtId="179" fontId="0" fillId="32" borderId="0" xfId="0" applyNumberFormat="1" applyFill="1" applyBorder="1" applyAlignment="1">
      <alignment/>
    </xf>
    <xf numFmtId="0" fontId="0" fillId="34" borderId="0" xfId="0" applyFill="1" applyBorder="1" applyAlignment="1">
      <alignment/>
    </xf>
    <xf numFmtId="0" fontId="0" fillId="34" borderId="0" xfId="0" applyFill="1" applyBorder="1" applyAlignment="1">
      <alignment horizontal="center"/>
    </xf>
    <xf numFmtId="0" fontId="0" fillId="35" borderId="0" xfId="0" applyFill="1" applyBorder="1" applyAlignment="1">
      <alignment/>
    </xf>
    <xf numFmtId="0" fontId="0" fillId="35" borderId="0" xfId="0" applyFill="1" applyBorder="1" applyAlignment="1">
      <alignment horizontal="center"/>
    </xf>
    <xf numFmtId="0" fontId="0" fillId="34" borderId="0" xfId="0" applyFont="1" applyFill="1" applyBorder="1" applyAlignment="1">
      <alignment horizontal="center"/>
    </xf>
    <xf numFmtId="0" fontId="0" fillId="34" borderId="0" xfId="0" applyFill="1" applyAlignment="1">
      <alignment horizontal="center"/>
    </xf>
    <xf numFmtId="0" fontId="6" fillId="34" borderId="0" xfId="0" applyFont="1" applyFill="1" applyBorder="1" applyAlignment="1">
      <alignment/>
    </xf>
    <xf numFmtId="49" fontId="0" fillId="34" borderId="0" xfId="0" applyNumberFormat="1" applyFill="1" applyBorder="1" applyAlignment="1">
      <alignment/>
    </xf>
    <xf numFmtId="0" fontId="5" fillId="34" borderId="0" xfId="0" applyFont="1" applyFill="1" applyBorder="1" applyAlignment="1" quotePrefix="1">
      <alignment horizontal="center"/>
    </xf>
    <xf numFmtId="0" fontId="0" fillId="34" borderId="0" xfId="0" applyFont="1" applyFill="1" applyBorder="1" applyAlignment="1">
      <alignment/>
    </xf>
    <xf numFmtId="0" fontId="0" fillId="35" borderId="0" xfId="0" applyFont="1" applyFill="1" applyBorder="1" applyAlignment="1">
      <alignment horizontal="center"/>
    </xf>
    <xf numFmtId="0" fontId="0" fillId="35" borderId="0" xfId="0" applyFill="1" applyAlignment="1">
      <alignment horizontal="center"/>
    </xf>
    <xf numFmtId="0" fontId="6" fillId="35" borderId="0" xfId="0" applyFont="1" applyFill="1" applyBorder="1" applyAlignment="1">
      <alignment/>
    </xf>
    <xf numFmtId="0" fontId="5" fillId="35" borderId="0" xfId="0" applyFont="1" applyFill="1" applyBorder="1" applyAlignment="1" quotePrefix="1">
      <alignment horizontal="center"/>
    </xf>
    <xf numFmtId="0" fontId="0" fillId="35" borderId="0" xfId="0" applyFill="1" applyAlignment="1">
      <alignment/>
    </xf>
    <xf numFmtId="49" fontId="5" fillId="0" borderId="0" xfId="0" applyNumberFormat="1" applyFont="1" applyBorder="1" applyAlignment="1">
      <alignment/>
    </xf>
    <xf numFmtId="0" fontId="5" fillId="0" borderId="0" xfId="0" applyNumberFormat="1" applyFont="1" applyBorder="1" applyAlignment="1">
      <alignment horizontal="center" wrapText="1"/>
    </xf>
    <xf numFmtId="0" fontId="5" fillId="0" borderId="0" xfId="0" applyFont="1" applyBorder="1" applyAlignment="1">
      <alignment horizontal="center" textRotation="90"/>
    </xf>
    <xf numFmtId="0" fontId="0" fillId="11" borderId="0" xfId="0" applyFill="1" applyBorder="1" applyAlignment="1">
      <alignment/>
    </xf>
    <xf numFmtId="0" fontId="0" fillId="11" borderId="0" xfId="0" applyFill="1" applyAlignment="1">
      <alignment/>
    </xf>
    <xf numFmtId="0" fontId="0" fillId="11" borderId="0" xfId="0" applyFill="1" applyAlignment="1">
      <alignment horizontal="center"/>
    </xf>
    <xf numFmtId="0" fontId="0" fillId="11" borderId="0" xfId="0" applyFont="1" applyFill="1" applyBorder="1" applyAlignment="1">
      <alignment horizontal="center"/>
    </xf>
    <xf numFmtId="0" fontId="0" fillId="11" borderId="0" xfId="0" applyFill="1" applyBorder="1" applyAlignment="1">
      <alignment horizontal="center"/>
    </xf>
    <xf numFmtId="0" fontId="0" fillId="11" borderId="0" xfId="0" applyFont="1" applyFill="1" applyAlignment="1">
      <alignment/>
    </xf>
    <xf numFmtId="0" fontId="0" fillId="11" borderId="0" xfId="0" applyNumberFormat="1" applyFont="1" applyFill="1" applyBorder="1" applyAlignment="1">
      <alignment horizontal="center"/>
    </xf>
    <xf numFmtId="0" fontId="5" fillId="11" borderId="0" xfId="0" applyFont="1" applyFill="1" applyBorder="1" applyAlignment="1" quotePrefix="1">
      <alignment horizontal="center"/>
    </xf>
    <xf numFmtId="0" fontId="5" fillId="11" borderId="0" xfId="0" applyFont="1" applyFill="1" applyAlignment="1">
      <alignment horizontal="center"/>
    </xf>
    <xf numFmtId="0" fontId="0" fillId="36" borderId="0" xfId="0" applyFill="1" applyBorder="1" applyAlignment="1">
      <alignment/>
    </xf>
    <xf numFmtId="0" fontId="0" fillId="36" borderId="0" xfId="0" applyFont="1" applyFill="1" applyBorder="1" applyAlignment="1">
      <alignment horizontal="center"/>
    </xf>
    <xf numFmtId="0" fontId="6" fillId="36" borderId="0" xfId="0" applyFont="1" applyFill="1" applyBorder="1" applyAlignment="1">
      <alignment/>
    </xf>
    <xf numFmtId="49" fontId="0" fillId="36" borderId="0" xfId="0" applyNumberFormat="1" applyFill="1" applyBorder="1" applyAlignment="1">
      <alignment/>
    </xf>
    <xf numFmtId="0" fontId="5" fillId="36" borderId="0" xfId="0" applyFont="1" applyFill="1" applyBorder="1" applyAlignment="1" quotePrefix="1">
      <alignment horizontal="center"/>
    </xf>
    <xf numFmtId="0" fontId="0" fillId="36" borderId="0" xfId="0" applyFill="1" applyAlignment="1">
      <alignment/>
    </xf>
    <xf numFmtId="0" fontId="5" fillId="36" borderId="0" xfId="0" applyFont="1" applyFill="1" applyBorder="1" applyAlignment="1">
      <alignment horizontal="center"/>
    </xf>
    <xf numFmtId="0" fontId="0" fillId="36" borderId="0" xfId="0" applyFill="1" applyAlignment="1">
      <alignment horizontal="center"/>
    </xf>
    <xf numFmtId="0" fontId="6" fillId="11" borderId="0" xfId="0" applyFont="1" applyFill="1" applyAlignment="1">
      <alignment/>
    </xf>
    <xf numFmtId="0" fontId="0" fillId="32" borderId="0" xfId="0" applyFont="1" applyFill="1" applyAlignment="1">
      <alignment horizontal="center"/>
    </xf>
    <xf numFmtId="0" fontId="5" fillId="36" borderId="11" xfId="0" applyNumberFormat="1" applyFont="1" applyFill="1" applyBorder="1" applyAlignment="1">
      <alignment horizontal="center"/>
    </xf>
    <xf numFmtId="0" fontId="5" fillId="36" borderId="12" xfId="0" applyNumberFormat="1" applyFont="1" applyFill="1" applyBorder="1" applyAlignment="1">
      <alignment horizontal="center"/>
    </xf>
    <xf numFmtId="0" fontId="5" fillId="36" borderId="13" xfId="0" applyNumberFormat="1" applyFont="1" applyFill="1" applyBorder="1" applyAlignment="1">
      <alignment horizontal="center"/>
    </xf>
    <xf numFmtId="0" fontId="5" fillId="34" borderId="11" xfId="0" applyNumberFormat="1" applyFont="1" applyFill="1" applyBorder="1" applyAlignment="1">
      <alignment horizontal="center"/>
    </xf>
    <xf numFmtId="0" fontId="5" fillId="34" borderId="12" xfId="0" applyNumberFormat="1" applyFont="1" applyFill="1" applyBorder="1" applyAlignment="1">
      <alignment horizontal="center"/>
    </xf>
    <xf numFmtId="0" fontId="5" fillId="34" borderId="13" xfId="0" applyNumberFormat="1" applyFont="1" applyFill="1" applyBorder="1" applyAlignment="1">
      <alignment horizontal="center"/>
    </xf>
    <xf numFmtId="0" fontId="5" fillId="32" borderId="11" xfId="0" applyNumberFormat="1" applyFont="1" applyFill="1" applyBorder="1" applyAlignment="1">
      <alignment horizontal="center"/>
    </xf>
    <xf numFmtId="0" fontId="5" fillId="32" borderId="12" xfId="0" applyNumberFormat="1" applyFont="1" applyFill="1" applyBorder="1" applyAlignment="1">
      <alignment horizontal="center"/>
    </xf>
    <xf numFmtId="0" fontId="5" fillId="32" borderId="13" xfId="0" applyNumberFormat="1" applyFont="1" applyFill="1" applyBorder="1" applyAlignment="1">
      <alignment horizontal="center"/>
    </xf>
    <xf numFmtId="0" fontId="5" fillId="33" borderId="11" xfId="0" applyNumberFormat="1" applyFont="1" applyFill="1" applyBorder="1" applyAlignment="1">
      <alignment horizontal="center"/>
    </xf>
    <xf numFmtId="0" fontId="5" fillId="33" borderId="12" xfId="0" applyNumberFormat="1" applyFont="1" applyFill="1" applyBorder="1" applyAlignment="1">
      <alignment horizontal="center"/>
    </xf>
    <xf numFmtId="0" fontId="5" fillId="33" borderId="13" xfId="0" applyNumberFormat="1" applyFont="1" applyFill="1" applyBorder="1" applyAlignment="1">
      <alignment horizontal="center"/>
    </xf>
    <xf numFmtId="0" fontId="5" fillId="11" borderId="11" xfId="0" applyNumberFormat="1" applyFont="1" applyFill="1" applyBorder="1" applyAlignment="1">
      <alignment horizontal="center"/>
    </xf>
    <xf numFmtId="0" fontId="5" fillId="11" borderId="12" xfId="0" applyNumberFormat="1" applyFont="1" applyFill="1" applyBorder="1" applyAlignment="1">
      <alignment horizontal="center"/>
    </xf>
    <xf numFmtId="0" fontId="5" fillId="11" borderId="13" xfId="0" applyNumberFormat="1" applyFont="1" applyFill="1" applyBorder="1" applyAlignment="1">
      <alignment horizontal="center"/>
    </xf>
    <xf numFmtId="0" fontId="5" fillId="35" borderId="11" xfId="0" applyNumberFormat="1" applyFont="1" applyFill="1" applyBorder="1" applyAlignment="1">
      <alignment horizontal="center"/>
    </xf>
    <xf numFmtId="0" fontId="5" fillId="35" borderId="12" xfId="0" applyNumberFormat="1" applyFont="1" applyFill="1" applyBorder="1" applyAlignment="1">
      <alignment horizontal="center"/>
    </xf>
    <xf numFmtId="0" fontId="5" fillId="35" borderId="13" xfId="0" applyNumberFormat="1" applyFont="1" applyFill="1" applyBorder="1" applyAlignment="1">
      <alignment horizontal="center"/>
    </xf>
    <xf numFmtId="0" fontId="0" fillId="32" borderId="0" xfId="0" applyFont="1" applyFill="1" applyBorder="1" applyAlignment="1">
      <alignment/>
    </xf>
    <xf numFmtId="0" fontId="0" fillId="33" borderId="14" xfId="0" applyFill="1" applyBorder="1" applyAlignment="1">
      <alignment horizontal="center"/>
    </xf>
    <xf numFmtId="0" fontId="0" fillId="0" borderId="15" xfId="0" applyFill="1" applyBorder="1" applyAlignment="1">
      <alignment horizontal="center"/>
    </xf>
    <xf numFmtId="0" fontId="0" fillId="32" borderId="14" xfId="0" applyFill="1" applyBorder="1" applyAlignment="1">
      <alignment horizontal="center"/>
    </xf>
    <xf numFmtId="0" fontId="0" fillId="32" borderId="15" xfId="0" applyFill="1" applyBorder="1" applyAlignment="1">
      <alignment horizontal="center"/>
    </xf>
    <xf numFmtId="0" fontId="0" fillId="34" borderId="14" xfId="0" applyFill="1" applyBorder="1" applyAlignment="1">
      <alignment horizontal="center"/>
    </xf>
    <xf numFmtId="0" fontId="0" fillId="34" borderId="15" xfId="0" applyFill="1" applyBorder="1" applyAlignment="1">
      <alignment horizontal="center"/>
    </xf>
    <xf numFmtId="0" fontId="0" fillId="0" borderId="0" xfId="0" applyAlignment="1">
      <alignment horizontal="center" vertical="center"/>
    </xf>
    <xf numFmtId="0" fontId="0" fillId="0" borderId="0" xfId="0" applyAlignment="1">
      <alignment horizontal="center"/>
    </xf>
    <xf numFmtId="0" fontId="2" fillId="0" borderId="0" xfId="53" applyAlignment="1" applyProtection="1">
      <alignment horizontal="center"/>
      <protection/>
    </xf>
    <xf numFmtId="0" fontId="0" fillId="11" borderId="14" xfId="0" applyFill="1" applyBorder="1" applyAlignment="1">
      <alignment horizontal="center"/>
    </xf>
    <xf numFmtId="0" fontId="0" fillId="11" borderId="15" xfId="0" applyFill="1" applyBorder="1" applyAlignment="1">
      <alignment horizontal="center"/>
    </xf>
    <xf numFmtId="0" fontId="0" fillId="33" borderId="0" xfId="0" applyFont="1" applyFill="1" applyBorder="1" applyAlignment="1">
      <alignment/>
    </xf>
    <xf numFmtId="0" fontId="0" fillId="11" borderId="0" xfId="0" applyFont="1" applyFill="1" applyBorder="1" applyAlignment="1">
      <alignment/>
    </xf>
    <xf numFmtId="0" fontId="0" fillId="35" borderId="0" xfId="0" applyFont="1" applyFill="1" applyAlignment="1">
      <alignment/>
    </xf>
    <xf numFmtId="0" fontId="48" fillId="0" borderId="0" xfId="0" applyFont="1" applyAlignment="1">
      <alignment/>
    </xf>
    <xf numFmtId="0" fontId="0" fillId="0" borderId="0" xfId="0" applyFont="1" applyAlignment="1">
      <alignment horizontal="left" vertical="top"/>
    </xf>
    <xf numFmtId="0" fontId="0" fillId="0" borderId="0" xfId="0" applyFont="1" applyAlignment="1">
      <alignment/>
    </xf>
    <xf numFmtId="0" fontId="0" fillId="0" borderId="0" xfId="0" applyFont="1" applyAlignment="1">
      <alignment vertical="top"/>
    </xf>
    <xf numFmtId="0" fontId="10" fillId="0" borderId="0" xfId="0" applyFont="1" applyAlignment="1">
      <alignment vertical="center"/>
    </xf>
    <xf numFmtId="0" fontId="5" fillId="37" borderId="0" xfId="0" applyFont="1" applyFill="1" applyBorder="1" applyAlignment="1" quotePrefix="1">
      <alignment horizontal="center"/>
    </xf>
    <xf numFmtId="0" fontId="0" fillId="37" borderId="0" xfId="0" applyFill="1" applyAlignment="1">
      <alignment horizontal="center"/>
    </xf>
    <xf numFmtId="0" fontId="5" fillId="37" borderId="11" xfId="0" applyNumberFormat="1" applyFont="1" applyFill="1" applyBorder="1" applyAlignment="1">
      <alignment horizontal="center"/>
    </xf>
    <xf numFmtId="0" fontId="0" fillId="37" borderId="0" xfId="0" applyFont="1" applyFill="1" applyBorder="1" applyAlignment="1">
      <alignment horizontal="center"/>
    </xf>
    <xf numFmtId="0" fontId="5" fillId="37" borderId="12" xfId="0" applyNumberFormat="1" applyFont="1" applyFill="1" applyBorder="1" applyAlignment="1">
      <alignment horizontal="center"/>
    </xf>
    <xf numFmtId="0" fontId="0" fillId="37" borderId="0" xfId="0" applyFont="1" applyFill="1" applyAlignment="1">
      <alignment/>
    </xf>
    <xf numFmtId="0" fontId="0" fillId="37" borderId="0" xfId="0" applyFill="1" applyAlignment="1">
      <alignment/>
    </xf>
    <xf numFmtId="0" fontId="5" fillId="37" borderId="13" xfId="0" applyNumberFormat="1" applyFont="1" applyFill="1" applyBorder="1" applyAlignment="1">
      <alignment horizontal="center"/>
    </xf>
    <xf numFmtId="0" fontId="0" fillId="38" borderId="0" xfId="0" applyFill="1" applyAlignment="1">
      <alignment/>
    </xf>
    <xf numFmtId="0" fontId="5" fillId="38" borderId="11" xfId="0" applyNumberFormat="1" applyFont="1" applyFill="1" applyBorder="1" applyAlignment="1">
      <alignment horizontal="center"/>
    </xf>
    <xf numFmtId="0" fontId="0" fillId="38" borderId="0" xfId="0" applyFont="1" applyFill="1" applyBorder="1" applyAlignment="1">
      <alignment horizontal="center"/>
    </xf>
    <xf numFmtId="0" fontId="5" fillId="38" borderId="12" xfId="0" applyNumberFormat="1" applyFont="1" applyFill="1" applyBorder="1" applyAlignment="1">
      <alignment horizontal="center"/>
    </xf>
    <xf numFmtId="0" fontId="5" fillId="38" borderId="0" xfId="0" applyFont="1" applyFill="1" applyBorder="1" applyAlignment="1">
      <alignment horizontal="center"/>
    </xf>
    <xf numFmtId="0" fontId="0" fillId="38" borderId="0" xfId="0" applyFill="1" applyBorder="1" applyAlignment="1">
      <alignment/>
    </xf>
    <xf numFmtId="0" fontId="5" fillId="38" borderId="13" xfId="0" applyNumberFormat="1" applyFont="1" applyFill="1" applyBorder="1" applyAlignment="1">
      <alignment horizontal="center"/>
    </xf>
    <xf numFmtId="0" fontId="0" fillId="13" borderId="0" xfId="0" applyFill="1" applyAlignment="1">
      <alignment/>
    </xf>
    <xf numFmtId="0" fontId="5" fillId="13" borderId="11" xfId="0" applyNumberFormat="1" applyFont="1" applyFill="1" applyBorder="1" applyAlignment="1">
      <alignment horizontal="center"/>
    </xf>
    <xf numFmtId="0" fontId="0" fillId="13" borderId="0" xfId="0" applyFont="1" applyFill="1" applyBorder="1" applyAlignment="1">
      <alignment horizontal="center"/>
    </xf>
    <xf numFmtId="0" fontId="5" fillId="13" borderId="12" xfId="0" applyNumberFormat="1" applyFont="1" applyFill="1" applyBorder="1" applyAlignment="1">
      <alignment horizontal="center"/>
    </xf>
    <xf numFmtId="0" fontId="5" fillId="13" borderId="0" xfId="0" applyFont="1" applyFill="1" applyBorder="1" applyAlignment="1">
      <alignment horizontal="center"/>
    </xf>
    <xf numFmtId="0" fontId="0" fillId="13" borderId="0" xfId="0" applyFill="1" applyBorder="1" applyAlignment="1">
      <alignment/>
    </xf>
    <xf numFmtId="0" fontId="5" fillId="13" borderId="13" xfId="0" applyNumberFormat="1" applyFont="1" applyFill="1" applyBorder="1" applyAlignment="1">
      <alignment horizontal="center"/>
    </xf>
    <xf numFmtId="179" fontId="0" fillId="38" borderId="0" xfId="0" applyNumberFormat="1" applyFill="1" applyBorder="1" applyAlignment="1">
      <alignment horizontal="center"/>
    </xf>
    <xf numFmtId="0" fontId="0" fillId="38" borderId="0" xfId="0" applyFont="1" applyFill="1" applyAlignment="1">
      <alignment/>
    </xf>
    <xf numFmtId="179" fontId="0" fillId="13" borderId="0" xfId="0" applyNumberFormat="1" applyFill="1" applyBorder="1" applyAlignment="1">
      <alignment horizontal="center"/>
    </xf>
    <xf numFmtId="0" fontId="0" fillId="13" borderId="0" xfId="0" applyFont="1" applyFill="1" applyAlignment="1">
      <alignment/>
    </xf>
    <xf numFmtId="0" fontId="6" fillId="38" borderId="0" xfId="0" applyFont="1" applyFill="1" applyBorder="1" applyAlignment="1">
      <alignment/>
    </xf>
    <xf numFmtId="179" fontId="0" fillId="38" borderId="0" xfId="0" applyNumberFormat="1" applyFill="1" applyBorder="1" applyAlignment="1">
      <alignment/>
    </xf>
    <xf numFmtId="0" fontId="6" fillId="13" borderId="0" xfId="0" applyFont="1" applyFill="1" applyBorder="1" applyAlignment="1">
      <alignment/>
    </xf>
    <xf numFmtId="179" fontId="0" fillId="13" borderId="0" xfId="0" applyNumberFormat="1" applyFill="1" applyBorder="1" applyAlignment="1">
      <alignment/>
    </xf>
    <xf numFmtId="0" fontId="6" fillId="37" borderId="0" xfId="0" applyFont="1" applyFill="1" applyBorder="1" applyAlignment="1">
      <alignment/>
    </xf>
    <xf numFmtId="49" fontId="0" fillId="37" borderId="0" xfId="0" applyNumberFormat="1" applyFill="1" applyBorder="1" applyAlignment="1">
      <alignment horizontal="center"/>
    </xf>
    <xf numFmtId="2" fontId="0" fillId="0" borderId="0" xfId="0" applyNumberFormat="1" applyAlignment="1">
      <alignment horizontal="center"/>
    </xf>
    <xf numFmtId="180" fontId="0" fillId="0" borderId="0" xfId="0" applyNumberFormat="1" applyFont="1" applyFill="1" applyBorder="1" applyAlignment="1">
      <alignment horizontal="center"/>
    </xf>
    <xf numFmtId="0" fontId="0" fillId="6" borderId="15" xfId="0" applyFill="1" applyBorder="1" applyAlignment="1">
      <alignment horizontal="center"/>
    </xf>
    <xf numFmtId="0" fontId="0" fillId="35" borderId="14" xfId="0" applyFill="1" applyBorder="1" applyAlignment="1">
      <alignment horizontal="center"/>
    </xf>
    <xf numFmtId="0" fontId="0" fillId="35" borderId="15" xfId="0" applyFill="1" applyBorder="1" applyAlignment="1">
      <alignment horizontal="center"/>
    </xf>
    <xf numFmtId="0" fontId="0" fillId="35" borderId="0" xfId="0" applyFont="1" applyFill="1" applyBorder="1" applyAlignment="1">
      <alignment/>
    </xf>
    <xf numFmtId="0" fontId="5" fillId="39" borderId="0" xfId="0" applyFont="1" applyFill="1" applyBorder="1" applyAlignment="1">
      <alignment horizontal="center"/>
    </xf>
    <xf numFmtId="0" fontId="0" fillId="32" borderId="14" xfId="0" applyFont="1" applyFill="1" applyBorder="1" applyAlignment="1">
      <alignment horizontal="center"/>
    </xf>
    <xf numFmtId="180" fontId="0" fillId="0" borderId="10" xfId="0" applyNumberFormat="1" applyFont="1" applyFill="1" applyBorder="1" applyAlignment="1">
      <alignment horizontal="center"/>
    </xf>
    <xf numFmtId="0" fontId="0" fillId="38" borderId="0" xfId="0" applyFont="1" applyFill="1" applyBorder="1" applyAlignment="1">
      <alignment/>
    </xf>
    <xf numFmtId="0" fontId="0" fillId="35" borderId="14" xfId="0" applyFont="1" applyFill="1" applyBorder="1" applyAlignment="1">
      <alignment horizontal="center"/>
    </xf>
    <xf numFmtId="0" fontId="0" fillId="34" borderId="14" xfId="0" applyFont="1" applyFill="1" applyBorder="1" applyAlignment="1">
      <alignment horizontal="center"/>
    </xf>
    <xf numFmtId="0" fontId="0" fillId="11" borderId="14" xfId="0" applyFont="1" applyFill="1" applyBorder="1" applyAlignment="1">
      <alignment horizontal="center"/>
    </xf>
    <xf numFmtId="0" fontId="0" fillId="38" borderId="14" xfId="0" applyFont="1" applyFill="1" applyBorder="1" applyAlignment="1">
      <alignment horizontal="center"/>
    </xf>
    <xf numFmtId="0" fontId="0" fillId="33" borderId="16" xfId="0" applyFill="1" applyBorder="1" applyAlignment="1">
      <alignment horizontal="center"/>
    </xf>
    <xf numFmtId="0" fontId="0" fillId="37" borderId="16" xfId="0" applyFill="1" applyBorder="1" applyAlignment="1">
      <alignment horizontal="center"/>
    </xf>
    <xf numFmtId="0" fontId="0" fillId="37" borderId="17" xfId="0" applyFill="1" applyBorder="1" applyAlignment="1">
      <alignment/>
    </xf>
    <xf numFmtId="0" fontId="0" fillId="37" borderId="18" xfId="0" applyFill="1" applyBorder="1" applyAlignment="1">
      <alignment horizontal="center"/>
    </xf>
    <xf numFmtId="0" fontId="5" fillId="33" borderId="0" xfId="0" applyFont="1" applyFill="1" applyBorder="1" applyAlignment="1">
      <alignment/>
    </xf>
    <xf numFmtId="0" fontId="0" fillId="37" borderId="0" xfId="0" applyFont="1" applyFill="1" applyBorder="1" applyAlignment="1">
      <alignment/>
    </xf>
    <xf numFmtId="0" fontId="0" fillId="37" borderId="14" xfId="0" applyFont="1" applyFill="1" applyBorder="1" applyAlignment="1">
      <alignment horizontal="center"/>
    </xf>
    <xf numFmtId="0" fontId="8" fillId="0" borderId="0" xfId="0" applyFont="1" applyFill="1" applyBorder="1" applyAlignment="1">
      <alignment horizontal="center" vertical="center"/>
    </xf>
    <xf numFmtId="0" fontId="0" fillId="0" borderId="19" xfId="0" applyFill="1" applyBorder="1" applyAlignment="1">
      <alignment horizontal="center"/>
    </xf>
    <xf numFmtId="0" fontId="8" fillId="0" borderId="20" xfId="0" applyFont="1" applyFill="1" applyBorder="1" applyAlignment="1">
      <alignment horizontal="center" vertical="center"/>
    </xf>
    <xf numFmtId="1" fontId="8" fillId="0" borderId="10" xfId="0" applyNumberFormat="1" applyFont="1" applyBorder="1" applyAlignment="1">
      <alignment horizontal="center"/>
    </xf>
    <xf numFmtId="0" fontId="5" fillId="40" borderId="16" xfId="0" applyFont="1" applyFill="1" applyBorder="1" applyAlignment="1">
      <alignment horizontal="center" vertical="center" wrapText="1"/>
    </xf>
    <xf numFmtId="0" fontId="5" fillId="40" borderId="17" xfId="0" applyFont="1" applyFill="1" applyBorder="1" applyAlignment="1">
      <alignment horizontal="left" vertical="center"/>
    </xf>
    <xf numFmtId="0" fontId="5" fillId="40" borderId="17" xfId="0" applyFont="1" applyFill="1" applyBorder="1" applyAlignment="1">
      <alignment horizontal="center" vertical="center"/>
    </xf>
    <xf numFmtId="179" fontId="5" fillId="40" borderId="17" xfId="0" applyNumberFormat="1" applyFont="1" applyFill="1" applyBorder="1" applyAlignment="1">
      <alignment horizontal="center" vertical="center" wrapText="1"/>
    </xf>
    <xf numFmtId="0" fontId="5" fillId="40" borderId="17" xfId="0" applyFont="1" applyFill="1" applyBorder="1" applyAlignment="1">
      <alignment horizontal="center" vertical="center" wrapText="1"/>
    </xf>
    <xf numFmtId="0" fontId="5" fillId="35" borderId="17" xfId="0" applyFont="1" applyFill="1" applyBorder="1" applyAlignment="1">
      <alignment horizontal="center" vertical="center"/>
    </xf>
    <xf numFmtId="0" fontId="5" fillId="11" borderId="17" xfId="0" applyFont="1" applyFill="1" applyBorder="1" applyAlignment="1">
      <alignment horizontal="center" vertical="center"/>
    </xf>
    <xf numFmtId="0" fontId="5" fillId="37" borderId="17" xfId="0" applyFont="1" applyFill="1" applyBorder="1" applyAlignment="1">
      <alignment horizontal="center" vertical="center"/>
    </xf>
    <xf numFmtId="0" fontId="5" fillId="33" borderId="17" xfId="0" applyFont="1" applyFill="1" applyBorder="1" applyAlignment="1">
      <alignment horizontal="center" vertical="center"/>
    </xf>
    <xf numFmtId="0" fontId="5" fillId="41" borderId="17" xfId="0" applyFont="1" applyFill="1" applyBorder="1" applyAlignment="1">
      <alignment horizontal="center" vertical="center"/>
    </xf>
    <xf numFmtId="0" fontId="5" fillId="32" borderId="17" xfId="0" applyFont="1" applyFill="1" applyBorder="1" applyAlignment="1">
      <alignment horizontal="center" vertical="center"/>
    </xf>
    <xf numFmtId="0" fontId="5" fillId="42" borderId="17" xfId="0" applyFont="1" applyFill="1" applyBorder="1" applyAlignment="1">
      <alignment horizontal="center" vertical="center"/>
    </xf>
    <xf numFmtId="0" fontId="5" fillId="38" borderId="17" xfId="0" applyFont="1" applyFill="1" applyBorder="1" applyAlignment="1">
      <alignment horizontal="center" vertical="center"/>
    </xf>
    <xf numFmtId="0" fontId="5" fillId="13" borderId="17" xfId="0" applyFont="1" applyFill="1" applyBorder="1" applyAlignment="1">
      <alignment horizontal="center" vertical="center"/>
    </xf>
    <xf numFmtId="0" fontId="5" fillId="34" borderId="17" xfId="0" applyFont="1" applyFill="1" applyBorder="1" applyAlignment="1">
      <alignment horizontal="center" vertical="center"/>
    </xf>
    <xf numFmtId="0" fontId="5" fillId="36" borderId="18" xfId="0" applyFont="1" applyFill="1" applyBorder="1" applyAlignment="1">
      <alignment horizontal="center" vertical="center"/>
    </xf>
    <xf numFmtId="0" fontId="0" fillId="0" borderId="14" xfId="0" applyFill="1" applyBorder="1" applyAlignment="1">
      <alignment horizontal="center"/>
    </xf>
    <xf numFmtId="0" fontId="0" fillId="43" borderId="0" xfId="0" applyFill="1" applyBorder="1" applyAlignment="1">
      <alignment horizontal="center"/>
    </xf>
    <xf numFmtId="0" fontId="0" fillId="44" borderId="21" xfId="0" applyFill="1" applyBorder="1" applyAlignment="1">
      <alignment/>
    </xf>
    <xf numFmtId="0" fontId="0" fillId="44" borderId="21" xfId="0" applyFill="1" applyBorder="1" applyAlignment="1">
      <alignment horizontal="left" vertical="top"/>
    </xf>
    <xf numFmtId="0" fontId="0" fillId="44" borderId="21" xfId="0" applyFill="1" applyBorder="1" applyAlignment="1">
      <alignment horizontal="center"/>
    </xf>
    <xf numFmtId="0" fontId="0" fillId="44" borderId="21" xfId="0" applyFill="1" applyBorder="1" applyAlignment="1">
      <alignment horizontal="left" vertical="top" wrapText="1"/>
    </xf>
    <xf numFmtId="0" fontId="0" fillId="0" borderId="20" xfId="0" applyFill="1" applyBorder="1" applyAlignment="1">
      <alignment horizontal="center"/>
    </xf>
    <xf numFmtId="0" fontId="5" fillId="41" borderId="17" xfId="0" applyFont="1" applyFill="1" applyBorder="1" applyAlignment="1">
      <alignment horizontal="center" vertical="center" wrapText="1"/>
    </xf>
    <xf numFmtId="0" fontId="5" fillId="41" borderId="18" xfId="0" applyFont="1" applyFill="1" applyBorder="1" applyAlignment="1">
      <alignment horizontal="center" vertical="center" wrapText="1"/>
    </xf>
    <xf numFmtId="2" fontId="0" fillId="0" borderId="0" xfId="0" applyNumberFormat="1" applyBorder="1" applyAlignment="1">
      <alignment horizontal="center"/>
    </xf>
    <xf numFmtId="2" fontId="5" fillId="41" borderId="17" xfId="0" applyNumberFormat="1" applyFont="1" applyFill="1" applyBorder="1" applyAlignment="1">
      <alignment horizontal="center" vertical="center" wrapText="1"/>
    </xf>
    <xf numFmtId="0" fontId="0" fillId="43" borderId="15" xfId="0" applyFill="1" applyBorder="1" applyAlignment="1">
      <alignment horizontal="center"/>
    </xf>
    <xf numFmtId="2" fontId="0" fillId="11" borderId="0" xfId="0" applyNumberFormat="1" applyFill="1" applyBorder="1" applyAlignment="1">
      <alignment horizontal="center"/>
    </xf>
    <xf numFmtId="2" fontId="0" fillId="32" borderId="0" xfId="0" applyNumberFormat="1" applyFill="1" applyBorder="1" applyAlignment="1">
      <alignment horizontal="center"/>
    </xf>
    <xf numFmtId="2" fontId="0" fillId="0" borderId="0" xfId="0" applyNumberFormat="1" applyFill="1" applyBorder="1" applyAlignment="1">
      <alignment horizontal="center"/>
    </xf>
    <xf numFmtId="2" fontId="0" fillId="34" borderId="0" xfId="0" applyNumberFormat="1" applyFill="1" applyBorder="1" applyAlignment="1">
      <alignment horizontal="center"/>
    </xf>
    <xf numFmtId="0" fontId="0" fillId="33" borderId="11" xfId="0" applyFill="1" applyBorder="1" applyAlignment="1">
      <alignment horizontal="center"/>
    </xf>
    <xf numFmtId="0" fontId="0" fillId="33" borderId="12" xfId="0" applyFill="1" applyBorder="1" applyAlignment="1">
      <alignment horizontal="center"/>
    </xf>
    <xf numFmtId="0" fontId="0" fillId="33" borderId="13" xfId="0" applyFill="1" applyBorder="1" applyAlignment="1">
      <alignment horizontal="center"/>
    </xf>
    <xf numFmtId="180" fontId="0" fillId="32" borderId="0" xfId="0" applyNumberFormat="1" applyFont="1" applyFill="1" applyBorder="1" applyAlignment="1">
      <alignment horizontal="center"/>
    </xf>
    <xf numFmtId="180" fontId="0" fillId="34" borderId="0" xfId="0" applyNumberFormat="1" applyFont="1" applyFill="1" applyBorder="1" applyAlignment="1">
      <alignment horizontal="center"/>
    </xf>
    <xf numFmtId="1" fontId="8" fillId="0" borderId="0" xfId="0" applyNumberFormat="1" applyFont="1" applyBorder="1" applyAlignment="1">
      <alignment horizontal="center"/>
    </xf>
    <xf numFmtId="0" fontId="0" fillId="43" borderId="17" xfId="0" applyFill="1" applyBorder="1" applyAlignment="1">
      <alignment horizontal="center"/>
    </xf>
    <xf numFmtId="0" fontId="5" fillId="0" borderId="0" xfId="0" applyFont="1" applyAlignment="1">
      <alignment horizontal="left" vertical="top"/>
    </xf>
    <xf numFmtId="0" fontId="5" fillId="33" borderId="17" xfId="0" applyFont="1" applyFill="1" applyBorder="1" applyAlignment="1">
      <alignment horizontal="left" vertical="top"/>
    </xf>
    <xf numFmtId="0" fontId="0" fillId="33" borderId="18" xfId="0" applyFill="1" applyBorder="1" applyAlignment="1">
      <alignment vertical="top"/>
    </xf>
    <xf numFmtId="0" fontId="5" fillId="33" borderId="17" xfId="0" applyFont="1" applyFill="1" applyBorder="1" applyAlignment="1">
      <alignment horizontal="center" vertical="top"/>
    </xf>
    <xf numFmtId="0" fontId="5" fillId="33" borderId="11" xfId="0" applyFont="1" applyFill="1" applyBorder="1" applyAlignment="1">
      <alignment horizontal="center" vertical="top"/>
    </xf>
    <xf numFmtId="0" fontId="5" fillId="33" borderId="11" xfId="0" applyFont="1" applyFill="1" applyBorder="1" applyAlignment="1">
      <alignment vertical="top"/>
    </xf>
    <xf numFmtId="0" fontId="0" fillId="44" borderId="11" xfId="0" applyFill="1" applyBorder="1" applyAlignment="1">
      <alignment horizontal="center" vertical="top"/>
    </xf>
    <xf numFmtId="0" fontId="0" fillId="44" borderId="17" xfId="0" applyFont="1" applyFill="1" applyBorder="1" applyAlignment="1">
      <alignment horizontal="left" vertical="top"/>
    </xf>
    <xf numFmtId="0" fontId="0" fillId="44" borderId="11" xfId="0" applyFont="1" applyFill="1" applyBorder="1" applyAlignment="1">
      <alignment horizontal="center" vertical="center"/>
    </xf>
    <xf numFmtId="0" fontId="0" fillId="44" borderId="17" xfId="0" applyFill="1" applyBorder="1" applyAlignment="1">
      <alignment horizontal="center" vertical="center"/>
    </xf>
    <xf numFmtId="0" fontId="0" fillId="44" borderId="13" xfId="0" applyFill="1" applyBorder="1" applyAlignment="1">
      <alignment horizontal="center" vertical="top"/>
    </xf>
    <xf numFmtId="0" fontId="0" fillId="44" borderId="10" xfId="0" applyFont="1" applyFill="1" applyBorder="1" applyAlignment="1">
      <alignment horizontal="left" vertical="top"/>
    </xf>
    <xf numFmtId="0" fontId="0" fillId="44" borderId="13" xfId="0" applyFont="1" applyFill="1" applyBorder="1" applyAlignment="1">
      <alignment horizontal="center" vertical="center"/>
    </xf>
    <xf numFmtId="0" fontId="0" fillId="44" borderId="10" xfId="0" applyFill="1" applyBorder="1" applyAlignment="1">
      <alignment horizontal="center" vertical="center"/>
    </xf>
    <xf numFmtId="0" fontId="0" fillId="44" borderId="17" xfId="0" applyFont="1" applyFill="1" applyBorder="1" applyAlignment="1">
      <alignment horizontal="left" vertical="top" wrapText="1"/>
    </xf>
    <xf numFmtId="0" fontId="0" fillId="44" borderId="10" xfId="0" applyFont="1" applyFill="1" applyBorder="1" applyAlignment="1">
      <alignment horizontal="left" vertical="top" wrapText="1"/>
    </xf>
    <xf numFmtId="0" fontId="0" fillId="44" borderId="22" xfId="0" applyFill="1" applyBorder="1" applyAlignment="1">
      <alignment horizontal="center" vertical="top"/>
    </xf>
    <xf numFmtId="0" fontId="0" fillId="44" borderId="23" xfId="0" applyFill="1" applyBorder="1" applyAlignment="1">
      <alignment horizontal="left" vertical="top"/>
    </xf>
    <xf numFmtId="0" fontId="0" fillId="44" borderId="22" xfId="0" applyFont="1" applyFill="1" applyBorder="1" applyAlignment="1">
      <alignment horizontal="center" vertical="center"/>
    </xf>
    <xf numFmtId="0" fontId="0" fillId="44" borderId="23" xfId="0" applyFill="1" applyBorder="1" applyAlignment="1">
      <alignment horizontal="center" vertical="center"/>
    </xf>
    <xf numFmtId="0" fontId="0" fillId="44" borderId="24" xfId="0" applyFill="1" applyBorder="1" applyAlignment="1">
      <alignment vertical="top"/>
    </xf>
    <xf numFmtId="0" fontId="0" fillId="44" borderId="10" xfId="0" applyFill="1" applyBorder="1" applyAlignment="1">
      <alignment horizontal="left" vertical="top"/>
    </xf>
    <xf numFmtId="0" fontId="0" fillId="44" borderId="19" xfId="0" applyFill="1" applyBorder="1" applyAlignment="1">
      <alignment vertical="top"/>
    </xf>
    <xf numFmtId="0" fontId="9" fillId="44" borderId="25" xfId="0" applyFont="1" applyFill="1" applyBorder="1" applyAlignment="1">
      <alignment vertical="center" wrapText="1"/>
    </xf>
    <xf numFmtId="0" fontId="9" fillId="44" borderId="26" xfId="0" applyFont="1" applyFill="1" applyBorder="1" applyAlignment="1">
      <alignment vertical="center" wrapText="1"/>
    </xf>
    <xf numFmtId="0" fontId="0" fillId="44" borderId="11" xfId="0" applyFont="1" applyFill="1" applyBorder="1" applyAlignment="1" quotePrefix="1">
      <alignment vertical="top"/>
    </xf>
    <xf numFmtId="0" fontId="0" fillId="44" borderId="12" xfId="0" applyFont="1" applyFill="1" applyBorder="1" applyAlignment="1" quotePrefix="1">
      <alignment vertical="top"/>
    </xf>
    <xf numFmtId="0" fontId="0" fillId="44" borderId="13" xfId="0" applyFont="1" applyFill="1" applyBorder="1" applyAlignment="1" quotePrefix="1">
      <alignment vertical="top"/>
    </xf>
    <xf numFmtId="0" fontId="5" fillId="33" borderId="27" xfId="0" applyFont="1" applyFill="1" applyBorder="1" applyAlignment="1">
      <alignment horizontal="center"/>
    </xf>
    <xf numFmtId="0" fontId="0" fillId="43" borderId="18" xfId="0" applyFill="1" applyBorder="1" applyAlignment="1">
      <alignment horizontal="center"/>
    </xf>
    <xf numFmtId="0" fontId="0" fillId="0" borderId="0" xfId="0" applyNumberFormat="1" applyFont="1" applyFill="1" applyBorder="1" applyAlignment="1">
      <alignment horizontal="center"/>
    </xf>
    <xf numFmtId="0" fontId="0" fillId="32" borderId="0" xfId="0" applyNumberFormat="1" applyFont="1" applyFill="1" applyBorder="1" applyAlignment="1">
      <alignment horizontal="center"/>
    </xf>
    <xf numFmtId="0" fontId="0" fillId="34" borderId="0" xfId="0" applyNumberFormat="1" applyFont="1" applyFill="1" applyBorder="1" applyAlignment="1">
      <alignment horizontal="center"/>
    </xf>
    <xf numFmtId="0" fontId="5" fillId="36" borderId="16"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13" borderId="14" xfId="0" applyFont="1" applyFill="1" applyBorder="1" applyAlignment="1">
      <alignment horizontal="center" vertical="center" wrapText="1"/>
    </xf>
    <xf numFmtId="0" fontId="5" fillId="38" borderId="14" xfId="0" applyFont="1" applyFill="1" applyBorder="1" applyAlignment="1">
      <alignment horizontal="center" vertical="center" wrapText="1"/>
    </xf>
    <xf numFmtId="0" fontId="5" fillId="39" borderId="14" xfId="0" applyFont="1" applyFill="1" applyBorder="1" applyAlignment="1">
      <alignment horizontal="center" vertical="center" wrapText="1"/>
    </xf>
    <xf numFmtId="0" fontId="5" fillId="32" borderId="14" xfId="0" applyFont="1" applyFill="1" applyBorder="1" applyAlignment="1">
      <alignment horizontal="center" vertical="center" wrapText="1"/>
    </xf>
    <xf numFmtId="0" fontId="5" fillId="41" borderId="14"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7" borderId="14" xfId="0" applyFont="1" applyFill="1" applyBorder="1" applyAlignment="1">
      <alignment horizontal="center" vertical="center" wrapText="1"/>
    </xf>
    <xf numFmtId="0" fontId="5" fillId="11" borderId="14" xfId="0" applyFont="1" applyFill="1" applyBorder="1" applyAlignment="1">
      <alignment horizontal="center" vertical="center" wrapText="1"/>
    </xf>
    <xf numFmtId="0" fontId="5" fillId="35" borderId="20" xfId="0" applyFont="1" applyFill="1" applyBorder="1" applyAlignment="1">
      <alignment horizontal="center" vertical="center" wrapText="1"/>
    </xf>
    <xf numFmtId="180" fontId="0" fillId="11" borderId="0" xfId="0" applyNumberFormat="1" applyFont="1" applyFill="1" applyBorder="1" applyAlignment="1">
      <alignment horizontal="center"/>
    </xf>
    <xf numFmtId="0" fontId="0" fillId="37" borderId="17" xfId="0" applyNumberFormat="1" applyFont="1" applyFill="1" applyBorder="1" applyAlignment="1">
      <alignment horizontal="center"/>
    </xf>
    <xf numFmtId="180" fontId="0" fillId="37" borderId="17" xfId="0" applyNumberFormat="1" applyFont="1" applyFill="1" applyBorder="1" applyAlignment="1">
      <alignment horizontal="center"/>
    </xf>
    <xf numFmtId="2" fontId="0" fillId="37" borderId="17" xfId="0" applyNumberFormat="1" applyFill="1" applyBorder="1" applyAlignment="1">
      <alignment horizontal="center"/>
    </xf>
    <xf numFmtId="0" fontId="0" fillId="37" borderId="18" xfId="0" applyNumberFormat="1" applyFont="1" applyFill="1" applyBorder="1" applyAlignment="1">
      <alignment horizontal="center"/>
    </xf>
    <xf numFmtId="0" fontId="0" fillId="11" borderId="15" xfId="0" applyNumberFormat="1" applyFont="1" applyFill="1" applyBorder="1" applyAlignment="1">
      <alignment horizontal="center"/>
    </xf>
    <xf numFmtId="0" fontId="0" fillId="32" borderId="15" xfId="0" applyNumberFormat="1" applyFont="1" applyFill="1" applyBorder="1" applyAlignment="1">
      <alignment horizontal="center"/>
    </xf>
    <xf numFmtId="0" fontId="0" fillId="0" borderId="15" xfId="0" applyNumberFormat="1" applyFont="1" applyFill="1" applyBorder="1" applyAlignment="1">
      <alignment horizontal="center"/>
    </xf>
    <xf numFmtId="0" fontId="0" fillId="34" borderId="15" xfId="0" applyNumberFormat="1" applyFont="1" applyFill="1" applyBorder="1" applyAlignment="1">
      <alignment horizontal="center"/>
    </xf>
    <xf numFmtId="2" fontId="0" fillId="0" borderId="10" xfId="0" applyNumberFormat="1" applyFill="1" applyBorder="1" applyAlignment="1">
      <alignment horizontal="center"/>
    </xf>
    <xf numFmtId="0" fontId="0" fillId="0" borderId="10" xfId="0" applyBorder="1" applyAlignment="1">
      <alignment/>
    </xf>
    <xf numFmtId="0" fontId="0" fillId="6" borderId="0" xfId="0" applyFill="1" applyBorder="1" applyAlignment="1">
      <alignment/>
    </xf>
    <xf numFmtId="0" fontId="0" fillId="6" borderId="0" xfId="0" applyNumberFormat="1" applyFont="1" applyFill="1" applyBorder="1" applyAlignment="1">
      <alignment horizontal="center"/>
    </xf>
    <xf numFmtId="0" fontId="0" fillId="6" borderId="15" xfId="0" applyNumberFormat="1" applyFont="1" applyFill="1" applyBorder="1" applyAlignment="1">
      <alignment horizontal="center"/>
    </xf>
    <xf numFmtId="0" fontId="0" fillId="6" borderId="14" xfId="0" applyFill="1" applyBorder="1" applyAlignment="1">
      <alignment horizontal="center"/>
    </xf>
    <xf numFmtId="180" fontId="0" fillId="6" borderId="0" xfId="0" applyNumberFormat="1" applyFont="1" applyFill="1" applyBorder="1" applyAlignment="1">
      <alignment horizontal="center"/>
    </xf>
    <xf numFmtId="2" fontId="0" fillId="6" borderId="0" xfId="0" applyNumberFormat="1" applyFill="1" applyBorder="1" applyAlignment="1">
      <alignment horizontal="center"/>
    </xf>
    <xf numFmtId="0" fontId="0" fillId="13" borderId="0" xfId="0" applyNumberFormat="1" applyFont="1" applyFill="1" applyBorder="1" applyAlignment="1">
      <alignment horizontal="center"/>
    </xf>
    <xf numFmtId="0" fontId="0" fillId="13" borderId="15" xfId="0" applyNumberFormat="1" applyFont="1" applyFill="1" applyBorder="1" applyAlignment="1">
      <alignment horizontal="center"/>
    </xf>
    <xf numFmtId="0" fontId="0" fillId="13" borderId="14" xfId="0" applyFill="1" applyBorder="1" applyAlignment="1">
      <alignment horizontal="center"/>
    </xf>
    <xf numFmtId="180" fontId="0" fillId="13" borderId="0" xfId="0" applyNumberFormat="1" applyFont="1" applyFill="1" applyBorder="1" applyAlignment="1">
      <alignment horizontal="center"/>
    </xf>
    <xf numFmtId="2" fontId="0" fillId="13" borderId="0" xfId="0" applyNumberFormat="1" applyFill="1" applyBorder="1" applyAlignment="1">
      <alignment horizontal="center"/>
    </xf>
    <xf numFmtId="0" fontId="0" fillId="13" borderId="15" xfId="0" applyFill="1" applyBorder="1" applyAlignment="1">
      <alignment horizontal="center"/>
    </xf>
    <xf numFmtId="0" fontId="0" fillId="0" borderId="10" xfId="0" applyNumberFormat="1" applyFont="1" applyFill="1" applyBorder="1" applyAlignment="1">
      <alignment horizontal="center"/>
    </xf>
    <xf numFmtId="0" fontId="0" fillId="0" borderId="19" xfId="0" applyNumberFormat="1" applyFont="1" applyFill="1" applyBorder="1" applyAlignment="1">
      <alignment horizontal="center"/>
    </xf>
    <xf numFmtId="0" fontId="0" fillId="13" borderId="14" xfId="0" applyFont="1" applyFill="1" applyBorder="1" applyAlignment="1">
      <alignment horizontal="center"/>
    </xf>
    <xf numFmtId="0" fontId="0" fillId="33" borderId="14" xfId="0" applyFont="1" applyFill="1" applyBorder="1" applyAlignment="1">
      <alignment horizontal="center"/>
    </xf>
    <xf numFmtId="0" fontId="0" fillId="36" borderId="14" xfId="0" applyFont="1" applyFill="1" applyBorder="1" applyAlignment="1">
      <alignment horizontal="center"/>
    </xf>
    <xf numFmtId="49" fontId="0" fillId="6" borderId="0" xfId="0" applyNumberFormat="1" applyFill="1" applyBorder="1" applyAlignment="1">
      <alignment horizontal="center"/>
    </xf>
    <xf numFmtId="0" fontId="0" fillId="13" borderId="0" xfId="0" applyFont="1" applyFill="1" applyBorder="1" applyAlignment="1">
      <alignment/>
    </xf>
    <xf numFmtId="0" fontId="5" fillId="0" borderId="0" xfId="0" applyFont="1" applyFill="1" applyBorder="1" applyAlignment="1">
      <alignment horizontal="center" vertical="center" wrapText="1"/>
    </xf>
    <xf numFmtId="185" fontId="5" fillId="0" borderId="0" xfId="0" applyNumberFormat="1" applyFont="1" applyFill="1" applyBorder="1" applyAlignment="1">
      <alignment horizontal="center"/>
    </xf>
    <xf numFmtId="0" fontId="0" fillId="35" borderId="0" xfId="0" applyNumberFormat="1" applyFont="1" applyFill="1" applyBorder="1" applyAlignment="1">
      <alignment horizontal="center"/>
    </xf>
    <xf numFmtId="0" fontId="0" fillId="35" borderId="15" xfId="0" applyNumberFormat="1" applyFont="1" applyFill="1" applyBorder="1" applyAlignment="1">
      <alignment horizontal="center"/>
    </xf>
    <xf numFmtId="180" fontId="0" fillId="35" borderId="0" xfId="0" applyNumberFormat="1" applyFont="1" applyFill="1" applyBorder="1" applyAlignment="1">
      <alignment horizontal="center"/>
    </xf>
    <xf numFmtId="2" fontId="0" fillId="35" borderId="0" xfId="0" applyNumberFormat="1" applyFill="1" applyBorder="1" applyAlignment="1">
      <alignment horizontal="center"/>
    </xf>
    <xf numFmtId="0" fontId="5" fillId="36" borderId="11" xfId="0" applyFont="1" applyFill="1" applyBorder="1" applyAlignment="1">
      <alignment horizontal="center"/>
    </xf>
    <xf numFmtId="0" fontId="5" fillId="34" borderId="12" xfId="0" applyFont="1" applyFill="1" applyBorder="1" applyAlignment="1">
      <alignment horizontal="center"/>
    </xf>
    <xf numFmtId="179" fontId="5" fillId="13" borderId="12" xfId="0" applyNumberFormat="1" applyFont="1" applyFill="1" applyBorder="1" applyAlignment="1">
      <alignment horizontal="center"/>
    </xf>
    <xf numFmtId="179" fontId="5" fillId="38" borderId="12" xfId="0" applyNumberFormat="1" applyFont="1" applyFill="1" applyBorder="1" applyAlignment="1">
      <alignment horizontal="center"/>
    </xf>
    <xf numFmtId="179" fontId="5" fillId="39" borderId="12" xfId="0" applyNumberFormat="1" applyFont="1" applyFill="1" applyBorder="1" applyAlignment="1">
      <alignment horizontal="center"/>
    </xf>
    <xf numFmtId="0" fontId="5" fillId="32" borderId="12" xfId="0" applyFont="1" applyFill="1" applyBorder="1" applyAlignment="1">
      <alignment horizontal="center"/>
    </xf>
    <xf numFmtId="179" fontId="5" fillId="37" borderId="12" xfId="0" applyNumberFormat="1" applyFont="1" applyFill="1" applyBorder="1" applyAlignment="1">
      <alignment horizontal="center"/>
    </xf>
    <xf numFmtId="179" fontId="5" fillId="11" borderId="12" xfId="0" applyNumberFormat="1" applyFont="1" applyFill="1" applyBorder="1" applyAlignment="1">
      <alignment horizontal="center"/>
    </xf>
    <xf numFmtId="0" fontId="5" fillId="13" borderId="12" xfId="0" applyFont="1" applyFill="1" applyBorder="1" applyAlignment="1">
      <alignment horizontal="center"/>
    </xf>
    <xf numFmtId="0" fontId="5" fillId="38" borderId="12" xfId="0" applyFont="1" applyFill="1" applyBorder="1" applyAlignment="1">
      <alignment horizontal="center"/>
    </xf>
    <xf numFmtId="0" fontId="5" fillId="39" borderId="12" xfId="0" applyFont="1" applyFill="1" applyBorder="1" applyAlignment="1">
      <alignment horizontal="center"/>
    </xf>
    <xf numFmtId="0" fontId="5" fillId="41" borderId="12" xfId="0" applyFont="1" applyFill="1" applyBorder="1" applyAlignment="1">
      <alignment horizontal="center"/>
    </xf>
    <xf numFmtId="0" fontId="5" fillId="33" borderId="12" xfId="0" applyFont="1" applyFill="1" applyBorder="1" applyAlignment="1">
      <alignment horizontal="center"/>
    </xf>
    <xf numFmtId="0" fontId="5" fillId="37" borderId="12" xfId="0" applyFont="1" applyFill="1" applyBorder="1" applyAlignment="1">
      <alignment horizontal="center"/>
    </xf>
    <xf numFmtId="0" fontId="5" fillId="11" borderId="12" xfId="0" applyFont="1" applyFill="1" applyBorder="1" applyAlignment="1">
      <alignment horizontal="center"/>
    </xf>
    <xf numFmtId="0" fontId="5" fillId="35" borderId="13" xfId="0" applyFont="1" applyFill="1" applyBorder="1" applyAlignment="1">
      <alignment horizontal="center"/>
    </xf>
    <xf numFmtId="179" fontId="5" fillId="35" borderId="13" xfId="0" applyNumberFormat="1" applyFont="1" applyFill="1" applyBorder="1" applyAlignment="1">
      <alignment horizontal="center"/>
    </xf>
    <xf numFmtId="179" fontId="5" fillId="36" borderId="11" xfId="0" applyNumberFormat="1" applyFont="1" applyFill="1" applyBorder="1" applyAlignment="1">
      <alignment horizontal="center"/>
    </xf>
    <xf numFmtId="1" fontId="8" fillId="0" borderId="19" xfId="0" applyNumberFormat="1" applyFont="1" applyBorder="1" applyAlignment="1">
      <alignment horizontal="center"/>
    </xf>
    <xf numFmtId="0" fontId="0" fillId="0" borderId="17" xfId="0" applyBorder="1" applyAlignment="1">
      <alignment/>
    </xf>
    <xf numFmtId="49" fontId="0" fillId="11" borderId="0" xfId="0" applyNumberFormat="1" applyFill="1" applyBorder="1" applyAlignment="1">
      <alignment/>
    </xf>
    <xf numFmtId="49" fontId="0" fillId="35" borderId="0" xfId="0" applyNumberFormat="1" applyFill="1" applyBorder="1" applyAlignment="1">
      <alignment/>
    </xf>
    <xf numFmtId="49" fontId="0" fillId="6" borderId="0" xfId="0" applyNumberFormat="1" applyFill="1" applyBorder="1" applyAlignment="1">
      <alignment/>
    </xf>
    <xf numFmtId="49" fontId="0" fillId="32" borderId="0" xfId="0" applyNumberFormat="1" applyFill="1" applyBorder="1" applyAlignment="1">
      <alignment/>
    </xf>
    <xf numFmtId="49" fontId="0" fillId="13" borderId="0" xfId="0" applyNumberFormat="1" applyFill="1" applyBorder="1" applyAlignment="1">
      <alignment/>
    </xf>
    <xf numFmtId="0" fontId="5" fillId="33" borderId="11" xfId="0" applyFont="1" applyFill="1" applyBorder="1" applyAlignment="1">
      <alignment horizontal="center" vertical="center" wrapText="1"/>
    </xf>
    <xf numFmtId="0" fontId="5" fillId="43" borderId="17" xfId="0" applyFont="1" applyFill="1" applyBorder="1" applyAlignment="1">
      <alignment horizontal="center" vertical="center" wrapText="1"/>
    </xf>
    <xf numFmtId="0" fontId="0" fillId="34" borderId="15" xfId="0" applyFont="1" applyFill="1" applyBorder="1" applyAlignment="1">
      <alignment horizontal="center"/>
    </xf>
    <xf numFmtId="0" fontId="0" fillId="11" borderId="15" xfId="0" applyFont="1" applyFill="1" applyBorder="1" applyAlignment="1">
      <alignment horizontal="center"/>
    </xf>
    <xf numFmtId="0" fontId="0" fillId="35" borderId="15" xfId="0" applyFont="1" applyFill="1" applyBorder="1" applyAlignment="1">
      <alignment horizontal="center"/>
    </xf>
    <xf numFmtId="0" fontId="0" fillId="32" borderId="15" xfId="0" applyFont="1" applyFill="1" applyBorder="1" applyAlignment="1">
      <alignment horizontal="center"/>
    </xf>
    <xf numFmtId="0" fontId="0" fillId="13" borderId="15" xfId="0" applyFont="1" applyFill="1" applyBorder="1" applyAlignment="1">
      <alignment horizontal="center"/>
    </xf>
    <xf numFmtId="49" fontId="0" fillId="0" borderId="10" xfId="0" applyNumberFormat="1" applyBorder="1" applyAlignment="1">
      <alignment/>
    </xf>
    <xf numFmtId="49" fontId="0" fillId="37" borderId="17" xfId="0" applyNumberFormat="1" applyFill="1" applyBorder="1" applyAlignment="1">
      <alignment/>
    </xf>
    <xf numFmtId="2" fontId="0" fillId="34" borderId="0" xfId="0" applyNumberFormat="1" applyFont="1" applyFill="1" applyBorder="1" applyAlignment="1">
      <alignment horizontal="center"/>
    </xf>
    <xf numFmtId="0" fontId="0" fillId="6" borderId="0" xfId="0" applyFont="1" applyFill="1" applyBorder="1" applyAlignment="1">
      <alignment/>
    </xf>
    <xf numFmtId="0" fontId="0" fillId="6" borderId="0" xfId="0" applyFont="1" applyFill="1" applyBorder="1" applyAlignment="1">
      <alignment horizontal="center"/>
    </xf>
    <xf numFmtId="0" fontId="0" fillId="6" borderId="14" xfId="0" applyFont="1" applyFill="1" applyBorder="1" applyAlignment="1">
      <alignment horizontal="center"/>
    </xf>
    <xf numFmtId="0" fontId="6" fillId="6" borderId="0" xfId="0" applyFont="1" applyFill="1" applyBorder="1" applyAlignment="1">
      <alignment/>
    </xf>
    <xf numFmtId="0" fontId="5" fillId="6" borderId="0" xfId="0" applyFont="1" applyFill="1" applyBorder="1" applyAlignment="1" quotePrefix="1">
      <alignment horizontal="center"/>
    </xf>
    <xf numFmtId="0" fontId="0" fillId="6" borderId="0" xfId="0" applyFill="1" applyAlignment="1">
      <alignment horizontal="center"/>
    </xf>
    <xf numFmtId="0" fontId="5" fillId="6" borderId="11" xfId="0" applyNumberFormat="1" applyFont="1" applyFill="1" applyBorder="1" applyAlignment="1">
      <alignment horizontal="center"/>
    </xf>
    <xf numFmtId="0" fontId="5" fillId="6" borderId="12" xfId="0" applyNumberFormat="1" applyFont="1" applyFill="1" applyBorder="1" applyAlignment="1">
      <alignment horizontal="center"/>
    </xf>
    <xf numFmtId="0" fontId="5" fillId="6" borderId="13" xfId="0" applyNumberFormat="1" applyFont="1" applyFill="1" applyBorder="1" applyAlignment="1">
      <alignment horizontal="center"/>
    </xf>
    <xf numFmtId="0" fontId="5" fillId="33" borderId="22" xfId="0" applyFont="1" applyFill="1" applyBorder="1" applyAlignment="1">
      <alignment horizontal="center" vertical="center" wrapText="1"/>
    </xf>
    <xf numFmtId="0" fontId="5" fillId="43" borderId="23" xfId="0" applyFont="1" applyFill="1" applyBorder="1" applyAlignment="1">
      <alignment horizontal="center" vertical="center" wrapText="1"/>
    </xf>
    <xf numFmtId="0" fontId="0" fillId="33" borderId="0" xfId="0" applyFill="1" applyBorder="1" applyAlignment="1">
      <alignment horizontal="center"/>
    </xf>
    <xf numFmtId="0" fontId="0" fillId="33" borderId="15" xfId="0" applyFill="1" applyBorder="1" applyAlignment="1">
      <alignment horizontal="center"/>
    </xf>
    <xf numFmtId="0" fontId="5" fillId="34" borderId="0" xfId="0" applyFont="1" applyFill="1" applyBorder="1" applyAlignment="1">
      <alignment horizontal="center"/>
    </xf>
    <xf numFmtId="0" fontId="0" fillId="0" borderId="14" xfId="0" applyBorder="1" applyAlignment="1">
      <alignment horizontal="center"/>
    </xf>
    <xf numFmtId="179" fontId="5" fillId="13" borderId="15" xfId="0" applyNumberFormat="1" applyFont="1" applyFill="1" applyBorder="1" applyAlignment="1">
      <alignment horizontal="center"/>
    </xf>
    <xf numFmtId="179" fontId="5" fillId="38" borderId="15" xfId="0" applyNumberFormat="1" applyFont="1" applyFill="1" applyBorder="1" applyAlignment="1">
      <alignment horizontal="center"/>
    </xf>
    <xf numFmtId="179" fontId="5" fillId="39" borderId="15" xfId="0" applyNumberFormat="1" applyFont="1" applyFill="1" applyBorder="1" applyAlignment="1">
      <alignment horizontal="center"/>
    </xf>
    <xf numFmtId="0" fontId="5" fillId="41" borderId="0" xfId="0" applyFont="1" applyFill="1" applyBorder="1" applyAlignment="1">
      <alignment horizontal="center"/>
    </xf>
    <xf numFmtId="0" fontId="5" fillId="33" borderId="0" xfId="0" applyFont="1" applyFill="1" applyBorder="1" applyAlignment="1">
      <alignment horizontal="center"/>
    </xf>
    <xf numFmtId="179" fontId="5" fillId="33" borderId="15" xfId="0" applyNumberFormat="1" applyFont="1" applyFill="1" applyBorder="1" applyAlignment="1">
      <alignment horizontal="center"/>
    </xf>
    <xf numFmtId="0" fontId="5" fillId="37" borderId="0" xfId="0" applyFont="1" applyFill="1" applyBorder="1" applyAlignment="1">
      <alignment horizontal="center"/>
    </xf>
    <xf numFmtId="179" fontId="5" fillId="37" borderId="15" xfId="0" applyNumberFormat="1" applyFont="1" applyFill="1" applyBorder="1" applyAlignment="1">
      <alignment horizontal="center"/>
    </xf>
    <xf numFmtId="0" fontId="5" fillId="11" borderId="0" xfId="0" applyFont="1" applyFill="1" applyBorder="1" applyAlignment="1">
      <alignment horizontal="center"/>
    </xf>
    <xf numFmtId="179" fontId="5" fillId="11" borderId="15" xfId="0" applyNumberFormat="1" applyFont="1" applyFill="1" applyBorder="1" applyAlignment="1">
      <alignment horizontal="center"/>
    </xf>
    <xf numFmtId="185" fontId="0" fillId="0" borderId="0" xfId="0" applyNumberFormat="1" applyBorder="1" applyAlignment="1">
      <alignment/>
    </xf>
    <xf numFmtId="185" fontId="0" fillId="0" borderId="10" xfId="0" applyNumberFormat="1" applyBorder="1" applyAlignment="1">
      <alignment/>
    </xf>
    <xf numFmtId="0" fontId="0" fillId="0" borderId="10" xfId="0" applyBorder="1" applyAlignment="1">
      <alignment horizontal="center"/>
    </xf>
    <xf numFmtId="0" fontId="0" fillId="0" borderId="20" xfId="0" applyBorder="1" applyAlignment="1">
      <alignment horizontal="center"/>
    </xf>
    <xf numFmtId="0" fontId="0" fillId="38" borderId="15" xfId="0" applyFont="1" applyFill="1" applyBorder="1" applyAlignment="1">
      <alignment horizontal="center"/>
    </xf>
    <xf numFmtId="0" fontId="0" fillId="36" borderId="0" xfId="0" applyFont="1" applyFill="1" applyAlignment="1">
      <alignment/>
    </xf>
    <xf numFmtId="0" fontId="49" fillId="0" borderId="0" xfId="0" applyFont="1" applyFill="1" applyBorder="1" applyAlignment="1">
      <alignment horizontal="center"/>
    </xf>
    <xf numFmtId="0" fontId="5" fillId="42" borderId="0" xfId="0" applyFont="1" applyFill="1" applyBorder="1" applyAlignment="1" quotePrefix="1">
      <alignment horizontal="center"/>
    </xf>
    <xf numFmtId="0" fontId="0" fillId="42" borderId="0" xfId="0" applyFont="1" applyFill="1" applyBorder="1" applyAlignment="1">
      <alignment/>
    </xf>
    <xf numFmtId="0" fontId="0" fillId="42" borderId="0" xfId="0" applyFont="1" applyFill="1" applyAlignment="1">
      <alignment horizontal="center"/>
    </xf>
    <xf numFmtId="0" fontId="5" fillId="42" borderId="11" xfId="0" applyNumberFormat="1" applyFont="1" applyFill="1" applyBorder="1" applyAlignment="1">
      <alignment horizontal="center"/>
    </xf>
    <xf numFmtId="0" fontId="0" fillId="42" borderId="14" xfId="0" applyFont="1" applyFill="1" applyBorder="1" applyAlignment="1">
      <alignment horizontal="center"/>
    </xf>
    <xf numFmtId="0" fontId="0" fillId="42" borderId="0" xfId="0" applyFont="1" applyFill="1" applyBorder="1" applyAlignment="1">
      <alignment horizontal="center"/>
    </xf>
    <xf numFmtId="0" fontId="5" fillId="42" borderId="12" xfId="0" applyNumberFormat="1" applyFont="1" applyFill="1" applyBorder="1" applyAlignment="1">
      <alignment horizontal="center"/>
    </xf>
    <xf numFmtId="0" fontId="0" fillId="42" borderId="0" xfId="0" applyFill="1" applyBorder="1" applyAlignment="1">
      <alignment/>
    </xf>
    <xf numFmtId="0" fontId="5" fillId="42" borderId="0" xfId="0" applyFont="1" applyFill="1" applyBorder="1" applyAlignment="1">
      <alignment horizontal="center"/>
    </xf>
    <xf numFmtId="0" fontId="5" fillId="42" borderId="13" xfId="0" applyNumberFormat="1" applyFont="1" applyFill="1" applyBorder="1" applyAlignment="1">
      <alignment horizontal="center"/>
    </xf>
    <xf numFmtId="0" fontId="6" fillId="42" borderId="0" xfId="0" applyFont="1" applyFill="1" applyBorder="1" applyAlignment="1">
      <alignment/>
    </xf>
    <xf numFmtId="179" fontId="0" fillId="42" borderId="0" xfId="0" applyNumberFormat="1" applyFill="1" applyBorder="1" applyAlignment="1">
      <alignment/>
    </xf>
    <xf numFmtId="0" fontId="0" fillId="33" borderId="15" xfId="0" applyFont="1" applyFill="1" applyBorder="1" applyAlignment="1">
      <alignment horizontal="center"/>
    </xf>
    <xf numFmtId="0" fontId="0" fillId="0" borderId="0" xfId="0" applyFont="1" applyBorder="1" applyAlignment="1">
      <alignment/>
    </xf>
    <xf numFmtId="0" fontId="0" fillId="37" borderId="17" xfId="0" applyFill="1" applyBorder="1" applyAlignment="1">
      <alignment horizontal="center"/>
    </xf>
    <xf numFmtId="185" fontId="5" fillId="37" borderId="17" xfId="0" applyNumberFormat="1" applyFont="1" applyFill="1" applyBorder="1" applyAlignment="1">
      <alignment/>
    </xf>
    <xf numFmtId="0" fontId="5" fillId="37" borderId="17" xfId="0" applyFont="1" applyFill="1" applyBorder="1" applyAlignment="1">
      <alignment horizontal="center"/>
    </xf>
    <xf numFmtId="0" fontId="0" fillId="37" borderId="14" xfId="0" applyFill="1" applyBorder="1" applyAlignment="1">
      <alignment horizontal="center"/>
    </xf>
    <xf numFmtId="0" fontId="0" fillId="37" borderId="0" xfId="0" applyFill="1" applyBorder="1" applyAlignment="1">
      <alignment/>
    </xf>
    <xf numFmtId="0" fontId="0" fillId="37" borderId="0" xfId="0" applyFill="1" applyBorder="1" applyAlignment="1">
      <alignment horizontal="center"/>
    </xf>
    <xf numFmtId="185" fontId="0" fillId="37" borderId="0" xfId="0" applyNumberFormat="1" applyFill="1" applyBorder="1" applyAlignment="1">
      <alignment/>
    </xf>
    <xf numFmtId="0" fontId="0" fillId="37" borderId="0" xfId="0" applyNumberFormat="1" applyFont="1" applyFill="1" applyBorder="1" applyAlignment="1">
      <alignment horizontal="center"/>
    </xf>
    <xf numFmtId="180" fontId="0" fillId="37" borderId="0" xfId="0" applyNumberFormat="1" applyFont="1" applyFill="1" applyBorder="1" applyAlignment="1">
      <alignment horizontal="center"/>
    </xf>
    <xf numFmtId="2" fontId="0" fillId="37" borderId="0" xfId="0" applyNumberFormat="1" applyFill="1" applyBorder="1" applyAlignment="1">
      <alignment horizontal="center"/>
    </xf>
    <xf numFmtId="0" fontId="0" fillId="41" borderId="14" xfId="0" applyFill="1" applyBorder="1" applyAlignment="1">
      <alignment horizontal="center"/>
    </xf>
    <xf numFmtId="0" fontId="0" fillId="41" borderId="0" xfId="0" applyFill="1" applyBorder="1" applyAlignment="1">
      <alignment/>
    </xf>
    <xf numFmtId="0" fontId="0" fillId="41" borderId="0" xfId="0" applyFill="1" applyBorder="1" applyAlignment="1">
      <alignment horizontal="center"/>
    </xf>
    <xf numFmtId="0" fontId="0" fillId="41" borderId="0" xfId="0" applyNumberFormat="1" applyFont="1" applyFill="1" applyBorder="1" applyAlignment="1">
      <alignment horizontal="center"/>
    </xf>
    <xf numFmtId="185" fontId="0" fillId="11" borderId="0" xfId="0" applyNumberFormat="1" applyFill="1" applyBorder="1" applyAlignment="1">
      <alignment/>
    </xf>
    <xf numFmtId="0" fontId="0" fillId="33" borderId="0" xfId="0" applyFill="1" applyBorder="1" applyAlignment="1">
      <alignment/>
    </xf>
    <xf numFmtId="185" fontId="0" fillId="33" borderId="0" xfId="0" applyNumberFormat="1" applyFill="1" applyBorder="1" applyAlignment="1">
      <alignment/>
    </xf>
    <xf numFmtId="0" fontId="0" fillId="33" borderId="0" xfId="0" applyNumberFormat="1" applyFont="1" applyFill="1" applyBorder="1" applyAlignment="1">
      <alignment horizontal="center"/>
    </xf>
    <xf numFmtId="180" fontId="0" fillId="33" borderId="0" xfId="0" applyNumberFormat="1" applyFont="1" applyFill="1" applyBorder="1" applyAlignment="1">
      <alignment horizontal="center"/>
    </xf>
    <xf numFmtId="2" fontId="0" fillId="33" borderId="0" xfId="0" applyNumberFormat="1" applyFill="1" applyBorder="1" applyAlignment="1">
      <alignment horizontal="center"/>
    </xf>
    <xf numFmtId="185" fontId="5" fillId="41" borderId="0" xfId="0" applyNumberFormat="1" applyFont="1" applyFill="1" applyBorder="1" applyAlignment="1">
      <alignment/>
    </xf>
    <xf numFmtId="180" fontId="0" fillId="41" borderId="0" xfId="0" applyNumberFormat="1" applyFont="1" applyFill="1" applyBorder="1" applyAlignment="1">
      <alignment horizontal="center"/>
    </xf>
    <xf numFmtId="2" fontId="0" fillId="41" borderId="0" xfId="0" applyNumberFormat="1" applyFill="1" applyBorder="1" applyAlignment="1">
      <alignment horizontal="center"/>
    </xf>
    <xf numFmtId="185" fontId="0" fillId="32" borderId="0" xfId="0" applyNumberFormat="1" applyFill="1" applyBorder="1" applyAlignment="1">
      <alignment/>
    </xf>
    <xf numFmtId="185" fontId="0" fillId="34" borderId="0" xfId="0" applyNumberFormat="1" applyFill="1" applyBorder="1" applyAlignment="1">
      <alignment/>
    </xf>
    <xf numFmtId="0" fontId="0" fillId="45" borderId="14" xfId="0" applyFill="1" applyBorder="1" applyAlignment="1">
      <alignment horizontal="center"/>
    </xf>
    <xf numFmtId="0" fontId="0" fillId="45" borderId="0" xfId="0" applyFill="1" applyBorder="1" applyAlignment="1">
      <alignment/>
    </xf>
    <xf numFmtId="0" fontId="0" fillId="45" borderId="0" xfId="0" applyFill="1" applyBorder="1" applyAlignment="1">
      <alignment horizontal="center"/>
    </xf>
    <xf numFmtId="185" fontId="0" fillId="45" borderId="0" xfId="0" applyNumberFormat="1" applyFill="1" applyBorder="1" applyAlignment="1">
      <alignment/>
    </xf>
    <xf numFmtId="0" fontId="0" fillId="45" borderId="0" xfId="0" applyNumberFormat="1" applyFont="1" applyFill="1" applyBorder="1" applyAlignment="1">
      <alignment horizontal="center"/>
    </xf>
    <xf numFmtId="0" fontId="0" fillId="38" borderId="14" xfId="0" applyFill="1" applyBorder="1" applyAlignment="1">
      <alignment horizontal="center"/>
    </xf>
    <xf numFmtId="0" fontId="0" fillId="38" borderId="0" xfId="0" applyFill="1" applyBorder="1" applyAlignment="1">
      <alignment horizontal="center"/>
    </xf>
    <xf numFmtId="185" fontId="0" fillId="38" borderId="0" xfId="0" applyNumberFormat="1" applyFill="1" applyBorder="1" applyAlignment="1">
      <alignment/>
    </xf>
    <xf numFmtId="0" fontId="0" fillId="38" borderId="0" xfId="0" applyNumberFormat="1" applyFont="1" applyFill="1" applyBorder="1" applyAlignment="1">
      <alignment horizontal="center"/>
    </xf>
    <xf numFmtId="180" fontId="0" fillId="38" borderId="0" xfId="0" applyNumberFormat="1" applyFont="1" applyFill="1" applyBorder="1" applyAlignment="1">
      <alignment horizontal="center"/>
    </xf>
    <xf numFmtId="2" fontId="0" fillId="38" borderId="0" xfId="0" applyNumberFormat="1" applyFill="1" applyBorder="1" applyAlignment="1">
      <alignment horizontal="center"/>
    </xf>
    <xf numFmtId="0" fontId="0" fillId="36" borderId="0" xfId="0" applyFill="1" applyBorder="1" applyAlignment="1">
      <alignment horizontal="center"/>
    </xf>
    <xf numFmtId="180" fontId="0" fillId="45" borderId="0" xfId="0" applyNumberFormat="1" applyFont="1" applyFill="1" applyBorder="1" applyAlignment="1">
      <alignment horizontal="center"/>
    </xf>
    <xf numFmtId="2" fontId="0" fillId="45" borderId="0" xfId="0" applyNumberFormat="1" applyFill="1" applyBorder="1" applyAlignment="1">
      <alignment horizontal="center"/>
    </xf>
    <xf numFmtId="0" fontId="0" fillId="13" borderId="0" xfId="0" applyFill="1" applyBorder="1" applyAlignment="1">
      <alignment horizontal="center"/>
    </xf>
    <xf numFmtId="185" fontId="0" fillId="13" borderId="0" xfId="0" applyNumberFormat="1" applyFill="1" applyBorder="1" applyAlignment="1">
      <alignment/>
    </xf>
    <xf numFmtId="0" fontId="5" fillId="36" borderId="17" xfId="0" applyFont="1" applyFill="1" applyBorder="1" applyAlignment="1">
      <alignment horizontal="center"/>
    </xf>
    <xf numFmtId="179" fontId="5" fillId="36" borderId="18" xfId="0" applyNumberFormat="1" applyFont="1" applyFill="1" applyBorder="1" applyAlignment="1">
      <alignment horizontal="center"/>
    </xf>
    <xf numFmtId="49" fontId="5" fillId="34" borderId="15" xfId="0" applyNumberFormat="1" applyFont="1" applyFill="1" applyBorder="1" applyAlignment="1">
      <alignment horizontal="center"/>
    </xf>
    <xf numFmtId="49" fontId="5" fillId="32" borderId="15" xfId="0" applyNumberFormat="1" applyFont="1" applyFill="1" applyBorder="1" applyAlignment="1">
      <alignment horizontal="center"/>
    </xf>
    <xf numFmtId="49" fontId="5" fillId="6" borderId="15" xfId="0" applyNumberFormat="1" applyFont="1" applyFill="1" applyBorder="1" applyAlignment="1">
      <alignment horizontal="center"/>
    </xf>
    <xf numFmtId="0" fontId="5" fillId="35" borderId="10" xfId="0" applyFont="1" applyFill="1" applyBorder="1" applyAlignment="1">
      <alignment horizontal="center" vertical="center"/>
    </xf>
    <xf numFmtId="49" fontId="5" fillId="35" borderId="19" xfId="0" applyNumberFormat="1" applyFont="1" applyFill="1" applyBorder="1" applyAlignment="1">
      <alignment horizontal="center"/>
    </xf>
    <xf numFmtId="0" fontId="0" fillId="36" borderId="15" xfId="0" applyFont="1" applyFill="1" applyBorder="1" applyAlignment="1">
      <alignment horizontal="center"/>
    </xf>
    <xf numFmtId="49" fontId="5" fillId="34" borderId="12" xfId="0" applyNumberFormat="1" applyFont="1" applyFill="1" applyBorder="1" applyAlignment="1">
      <alignment horizontal="center"/>
    </xf>
    <xf numFmtId="49" fontId="5" fillId="32" borderId="12" xfId="0" applyNumberFormat="1" applyFont="1" applyFill="1" applyBorder="1" applyAlignment="1">
      <alignment horizontal="center"/>
    </xf>
    <xf numFmtId="49" fontId="5" fillId="44" borderId="12" xfId="0" applyNumberFormat="1" applyFont="1" applyFill="1" applyBorder="1" applyAlignment="1">
      <alignment horizontal="center"/>
    </xf>
    <xf numFmtId="49" fontId="5" fillId="33" borderId="12" xfId="0" applyNumberFormat="1" applyFont="1" applyFill="1" applyBorder="1" applyAlignment="1">
      <alignment horizontal="center"/>
    </xf>
    <xf numFmtId="0" fontId="0" fillId="43" borderId="16" xfId="0" applyFill="1" applyBorder="1" applyAlignment="1">
      <alignment horizontal="center"/>
    </xf>
    <xf numFmtId="0" fontId="0" fillId="43" borderId="14" xfId="0" applyFill="1" applyBorder="1" applyAlignment="1">
      <alignment horizontal="center"/>
    </xf>
    <xf numFmtId="0" fontId="0" fillId="43" borderId="20" xfId="0" applyFill="1" applyBorder="1" applyAlignment="1">
      <alignment horizontal="center"/>
    </xf>
    <xf numFmtId="0" fontId="0" fillId="43" borderId="10" xfId="0" applyFill="1" applyBorder="1" applyAlignment="1">
      <alignment horizontal="center"/>
    </xf>
    <xf numFmtId="0" fontId="0" fillId="43" borderId="19" xfId="0" applyFill="1" applyBorder="1" applyAlignment="1">
      <alignment horizontal="center"/>
    </xf>
    <xf numFmtId="0" fontId="0" fillId="0" borderId="17" xfId="0" applyBorder="1" applyAlignment="1">
      <alignment horizontal="center"/>
    </xf>
    <xf numFmtId="179" fontId="5" fillId="40" borderId="23" xfId="57" applyNumberFormat="1" applyFont="1" applyFill="1" applyBorder="1" applyAlignment="1">
      <alignment horizontal="center" vertical="center" wrapText="1"/>
      <protection/>
    </xf>
    <xf numFmtId="0" fontId="0" fillId="0" borderId="0" xfId="57" applyAlignment="1">
      <alignment horizontal="center" vertical="center"/>
      <protection/>
    </xf>
    <xf numFmtId="0" fontId="0" fillId="0" borderId="0" xfId="57" applyAlignment="1">
      <alignment horizontal="center"/>
      <protection/>
    </xf>
    <xf numFmtId="0" fontId="5" fillId="36" borderId="16" xfId="57" applyFont="1" applyFill="1" applyBorder="1" applyAlignment="1">
      <alignment horizontal="center" vertical="center" wrapText="1"/>
      <protection/>
    </xf>
    <xf numFmtId="179" fontId="0" fillId="36" borderId="17" xfId="57" applyNumberFormat="1" applyFont="1" applyFill="1" applyBorder="1" applyAlignment="1">
      <alignment horizontal="center"/>
      <protection/>
    </xf>
    <xf numFmtId="179" fontId="5" fillId="36" borderId="18" xfId="57" applyNumberFormat="1" applyFont="1" applyFill="1" applyBorder="1" applyAlignment="1">
      <alignment horizontal="center"/>
      <protection/>
    </xf>
    <xf numFmtId="0" fontId="5" fillId="34" borderId="14" xfId="57" applyFont="1" applyFill="1" applyBorder="1" applyAlignment="1">
      <alignment horizontal="center" vertical="center" wrapText="1"/>
      <protection/>
    </xf>
    <xf numFmtId="179" fontId="0" fillId="34" borderId="0" xfId="57" applyNumberFormat="1" applyFont="1" applyFill="1" applyBorder="1" applyAlignment="1">
      <alignment horizontal="center"/>
      <protection/>
    </xf>
    <xf numFmtId="179" fontId="5" fillId="34" borderId="15" xfId="57" applyNumberFormat="1" applyFont="1" applyFill="1" applyBorder="1" applyAlignment="1">
      <alignment horizontal="center"/>
      <protection/>
    </xf>
    <xf numFmtId="0" fontId="5" fillId="13" borderId="14" xfId="57" applyFont="1" applyFill="1" applyBorder="1" applyAlignment="1">
      <alignment horizontal="center" vertical="center" wrapText="1"/>
      <protection/>
    </xf>
    <xf numFmtId="179" fontId="0" fillId="13" borderId="0" xfId="57" applyNumberFormat="1" applyFont="1" applyFill="1" applyBorder="1" applyAlignment="1">
      <alignment horizontal="center"/>
      <protection/>
    </xf>
    <xf numFmtId="179" fontId="5" fillId="13" borderId="15" xfId="57" applyNumberFormat="1" applyFont="1" applyFill="1" applyBorder="1" applyAlignment="1">
      <alignment horizontal="center"/>
      <protection/>
    </xf>
    <xf numFmtId="0" fontId="5" fillId="38" borderId="14" xfId="57" applyFont="1" applyFill="1" applyBorder="1" applyAlignment="1">
      <alignment horizontal="center" vertical="center" wrapText="1"/>
      <protection/>
    </xf>
    <xf numFmtId="179" fontId="0" fillId="38" borderId="0" xfId="57" applyNumberFormat="1" applyFont="1" applyFill="1" applyBorder="1" applyAlignment="1">
      <alignment horizontal="center"/>
      <protection/>
    </xf>
    <xf numFmtId="179" fontId="5" fillId="38" borderId="15" xfId="57" applyNumberFormat="1" applyFont="1" applyFill="1" applyBorder="1" applyAlignment="1">
      <alignment horizontal="center"/>
      <protection/>
    </xf>
    <xf numFmtId="0" fontId="5" fillId="39" borderId="14" xfId="57" applyFont="1" applyFill="1" applyBorder="1" applyAlignment="1">
      <alignment horizontal="center" vertical="center" wrapText="1"/>
      <protection/>
    </xf>
    <xf numFmtId="179" fontId="0" fillId="39" borderId="0" xfId="57" applyNumberFormat="1" applyFont="1" applyFill="1" applyBorder="1" applyAlignment="1">
      <alignment horizontal="center"/>
      <protection/>
    </xf>
    <xf numFmtId="179" fontId="0" fillId="42" borderId="0" xfId="57" applyNumberFormat="1" applyFont="1" applyFill="1" applyBorder="1" applyAlignment="1">
      <alignment horizontal="center"/>
      <protection/>
    </xf>
    <xf numFmtId="179" fontId="5" fillId="42" borderId="15" xfId="57" applyNumberFormat="1" applyFont="1" applyFill="1" applyBorder="1" applyAlignment="1">
      <alignment horizontal="center"/>
      <protection/>
    </xf>
    <xf numFmtId="0" fontId="5" fillId="32" borderId="14" xfId="57" applyFont="1" applyFill="1" applyBorder="1" applyAlignment="1">
      <alignment horizontal="center" vertical="center" wrapText="1"/>
      <protection/>
    </xf>
    <xf numFmtId="179" fontId="0" fillId="32" borderId="0" xfId="57" applyNumberFormat="1" applyFont="1" applyFill="1" applyBorder="1" applyAlignment="1">
      <alignment horizontal="center"/>
      <protection/>
    </xf>
    <xf numFmtId="179" fontId="5" fillId="32" borderId="15" xfId="57" applyNumberFormat="1" applyFont="1" applyFill="1" applyBorder="1" applyAlignment="1">
      <alignment horizontal="center"/>
      <protection/>
    </xf>
    <xf numFmtId="0" fontId="5" fillId="41" borderId="14" xfId="57" applyFont="1" applyFill="1" applyBorder="1" applyAlignment="1">
      <alignment horizontal="center" vertical="center" wrapText="1"/>
      <protection/>
    </xf>
    <xf numFmtId="179" fontId="5" fillId="41" borderId="15" xfId="57" applyNumberFormat="1" applyFont="1" applyFill="1" applyBorder="1" applyAlignment="1">
      <alignment horizontal="center"/>
      <protection/>
    </xf>
    <xf numFmtId="0" fontId="5" fillId="33" borderId="14" xfId="57" applyFont="1" applyFill="1" applyBorder="1" applyAlignment="1">
      <alignment horizontal="center" vertical="center" wrapText="1"/>
      <protection/>
    </xf>
    <xf numFmtId="179" fontId="5" fillId="33" borderId="15" xfId="57" applyNumberFormat="1" applyFont="1" applyFill="1" applyBorder="1" applyAlignment="1">
      <alignment horizontal="center"/>
      <protection/>
    </xf>
    <xf numFmtId="0" fontId="5" fillId="37" borderId="14" xfId="57" applyFont="1" applyFill="1" applyBorder="1" applyAlignment="1">
      <alignment horizontal="center" vertical="center" wrapText="1"/>
      <protection/>
    </xf>
    <xf numFmtId="179" fontId="0" fillId="37" borderId="0" xfId="57" applyNumberFormat="1" applyFont="1" applyFill="1" applyBorder="1" applyAlignment="1">
      <alignment horizontal="center"/>
      <protection/>
    </xf>
    <xf numFmtId="179" fontId="5" fillId="37" borderId="15" xfId="57" applyNumberFormat="1" applyFont="1" applyFill="1" applyBorder="1" applyAlignment="1">
      <alignment horizontal="center"/>
      <protection/>
    </xf>
    <xf numFmtId="0" fontId="5" fillId="11" borderId="14" xfId="57" applyFont="1" applyFill="1" applyBorder="1" applyAlignment="1">
      <alignment horizontal="center" vertical="center" wrapText="1"/>
      <protection/>
    </xf>
    <xf numFmtId="179" fontId="0" fillId="11" borderId="0" xfId="57" applyNumberFormat="1" applyFont="1" applyFill="1" applyBorder="1" applyAlignment="1">
      <alignment horizontal="center"/>
      <protection/>
    </xf>
    <xf numFmtId="179" fontId="5" fillId="11" borderId="15" xfId="57" applyNumberFormat="1" applyFont="1" applyFill="1" applyBorder="1" applyAlignment="1">
      <alignment horizontal="center"/>
      <protection/>
    </xf>
    <xf numFmtId="0" fontId="5" fillId="35" borderId="20" xfId="57" applyFont="1" applyFill="1" applyBorder="1" applyAlignment="1">
      <alignment horizontal="center" vertical="center" wrapText="1"/>
      <protection/>
    </xf>
    <xf numFmtId="179" fontId="0" fillId="35" borderId="10" xfId="57" applyNumberFormat="1" applyFont="1" applyFill="1" applyBorder="1" applyAlignment="1">
      <alignment horizontal="center"/>
      <protection/>
    </xf>
    <xf numFmtId="179" fontId="5" fillId="35" borderId="19" xfId="57" applyNumberFormat="1" applyFont="1" applyFill="1" applyBorder="1" applyAlignment="1">
      <alignment horizontal="center"/>
      <protection/>
    </xf>
    <xf numFmtId="0" fontId="0" fillId="0" borderId="10" xfId="0" applyFill="1" applyBorder="1" applyAlignment="1">
      <alignment horizontal="center"/>
    </xf>
    <xf numFmtId="0" fontId="0" fillId="33" borderId="18" xfId="0" applyFill="1" applyBorder="1" applyAlignment="1">
      <alignment horizontal="center"/>
    </xf>
    <xf numFmtId="0" fontId="0" fillId="33" borderId="19" xfId="0" applyFill="1" applyBorder="1" applyAlignment="1">
      <alignment horizontal="center"/>
    </xf>
    <xf numFmtId="0" fontId="5" fillId="40" borderId="28" xfId="0" applyFont="1" applyFill="1" applyBorder="1" applyAlignment="1">
      <alignment horizontal="center" vertical="center" wrapText="1"/>
    </xf>
    <xf numFmtId="0" fontId="5" fillId="40" borderId="23" xfId="0" applyFont="1" applyFill="1" applyBorder="1" applyAlignment="1">
      <alignment horizontal="left" vertical="center"/>
    </xf>
    <xf numFmtId="0" fontId="5" fillId="40" borderId="23" xfId="0" applyFont="1" applyFill="1" applyBorder="1" applyAlignment="1">
      <alignment horizontal="center" vertical="center"/>
    </xf>
    <xf numFmtId="0" fontId="5" fillId="35" borderId="23" xfId="0" applyFont="1" applyFill="1" applyBorder="1" applyAlignment="1">
      <alignment horizontal="center" vertical="center"/>
    </xf>
    <xf numFmtId="0" fontId="5" fillId="11" borderId="23" xfId="0" applyFont="1" applyFill="1" applyBorder="1" applyAlignment="1">
      <alignment horizontal="center" vertical="center"/>
    </xf>
    <xf numFmtId="0" fontId="5" fillId="37" borderId="23" xfId="0" applyFont="1" applyFill="1" applyBorder="1" applyAlignment="1">
      <alignment horizontal="center" vertical="center"/>
    </xf>
    <xf numFmtId="0" fontId="5" fillId="33" borderId="23" xfId="0" applyFont="1" applyFill="1" applyBorder="1" applyAlignment="1">
      <alignment horizontal="center" vertical="center"/>
    </xf>
    <xf numFmtId="0" fontId="5" fillId="41" borderId="23" xfId="0" applyFont="1" applyFill="1" applyBorder="1" applyAlignment="1">
      <alignment horizontal="center" vertical="center"/>
    </xf>
    <xf numFmtId="0" fontId="5" fillId="32" borderId="23" xfId="0" applyFont="1" applyFill="1" applyBorder="1" applyAlignment="1">
      <alignment horizontal="center" vertical="center"/>
    </xf>
    <xf numFmtId="0" fontId="5" fillId="42" borderId="23" xfId="0" applyFont="1" applyFill="1" applyBorder="1" applyAlignment="1">
      <alignment horizontal="center" vertical="center"/>
    </xf>
    <xf numFmtId="0" fontId="5" fillId="38" borderId="23" xfId="0" applyFont="1" applyFill="1" applyBorder="1" applyAlignment="1">
      <alignment horizontal="center" vertical="center"/>
    </xf>
    <xf numFmtId="0" fontId="5" fillId="13" borderId="23" xfId="0" applyFont="1" applyFill="1" applyBorder="1" applyAlignment="1">
      <alignment horizontal="center" vertical="center"/>
    </xf>
    <xf numFmtId="0" fontId="5" fillId="34" borderId="23" xfId="0" applyFont="1" applyFill="1" applyBorder="1" applyAlignment="1">
      <alignment horizontal="center" vertical="center"/>
    </xf>
    <xf numFmtId="0" fontId="5" fillId="36" borderId="24" xfId="0" applyFont="1" applyFill="1" applyBorder="1" applyAlignment="1">
      <alignment horizontal="center" vertical="center"/>
    </xf>
    <xf numFmtId="0" fontId="0" fillId="0" borderId="0" xfId="0" applyBorder="1" applyAlignment="1">
      <alignment horizontal="left"/>
    </xf>
    <xf numFmtId="185" fontId="0" fillId="0" borderId="0" xfId="0" applyNumberFormat="1" applyFont="1" applyBorder="1" applyAlignment="1">
      <alignment horizontal="center"/>
    </xf>
    <xf numFmtId="0" fontId="0" fillId="0" borderId="0" xfId="57" applyBorder="1" applyAlignment="1">
      <alignment horizontal="center"/>
      <protection/>
    </xf>
    <xf numFmtId="49" fontId="0" fillId="0" borderId="10" xfId="0" applyNumberFormat="1" applyBorder="1" applyAlignment="1">
      <alignment horizontal="center"/>
    </xf>
    <xf numFmtId="0" fontId="0" fillId="0" borderId="10" xfId="57" applyBorder="1" applyAlignment="1">
      <alignment horizontal="center"/>
      <protection/>
    </xf>
    <xf numFmtId="185" fontId="0" fillId="0" borderId="10" xfId="0" applyNumberFormat="1" applyFont="1" applyBorder="1" applyAlignment="1">
      <alignment horizontal="center"/>
    </xf>
    <xf numFmtId="1" fontId="8" fillId="0" borderId="28" xfId="0" applyNumberFormat="1" applyFont="1" applyBorder="1" applyAlignment="1">
      <alignment horizontal="center"/>
    </xf>
    <xf numFmtId="1" fontId="8" fillId="0" borderId="23" xfId="0" applyNumberFormat="1" applyFont="1" applyBorder="1" applyAlignment="1">
      <alignment horizontal="center"/>
    </xf>
    <xf numFmtId="1" fontId="8" fillId="0" borderId="24" xfId="0" applyNumberFormat="1" applyFont="1" applyBorder="1" applyAlignment="1">
      <alignment horizontal="center"/>
    </xf>
    <xf numFmtId="179" fontId="0" fillId="34" borderId="0" xfId="0" applyNumberFormat="1" applyFont="1" applyFill="1" applyBorder="1" applyAlignment="1">
      <alignment horizontal="center"/>
    </xf>
    <xf numFmtId="0" fontId="0" fillId="11" borderId="0" xfId="0" applyFont="1" applyFill="1" applyBorder="1" applyAlignment="1">
      <alignment horizontal="center"/>
    </xf>
    <xf numFmtId="0" fontId="0" fillId="32" borderId="0" xfId="0" applyFont="1" applyFill="1" applyBorder="1" applyAlignment="1">
      <alignment horizontal="center"/>
    </xf>
    <xf numFmtId="0" fontId="0" fillId="38" borderId="0" xfId="0" applyFont="1" applyFill="1" applyBorder="1" applyAlignment="1">
      <alignment horizontal="center"/>
    </xf>
    <xf numFmtId="0" fontId="0" fillId="13" borderId="0" xfId="0" applyFont="1" applyFill="1" applyBorder="1" applyAlignment="1">
      <alignment horizontal="center"/>
    </xf>
    <xf numFmtId="0" fontId="0" fillId="34" borderId="0" xfId="0" applyFont="1" applyFill="1" applyBorder="1" applyAlignment="1">
      <alignment horizontal="center"/>
    </xf>
    <xf numFmtId="0" fontId="0" fillId="36" borderId="0" xfId="0" applyFont="1" applyFill="1" applyBorder="1" applyAlignment="1">
      <alignment horizontal="center"/>
    </xf>
    <xf numFmtId="179" fontId="0" fillId="38" borderId="0" xfId="59" applyNumberFormat="1" applyFont="1" applyFill="1" applyBorder="1" applyAlignment="1">
      <alignment horizontal="center"/>
      <protection/>
    </xf>
    <xf numFmtId="179" fontId="0" fillId="41" borderId="0" xfId="59" applyNumberFormat="1" applyFont="1" applyFill="1" applyBorder="1" applyAlignment="1">
      <alignment horizontal="center"/>
      <protection/>
    </xf>
    <xf numFmtId="179" fontId="0" fillId="33" borderId="0" xfId="59" applyNumberFormat="1" applyFont="1" applyFill="1" applyBorder="1" applyAlignment="1">
      <alignment horizontal="center"/>
      <protection/>
    </xf>
    <xf numFmtId="179" fontId="0" fillId="37" borderId="0" xfId="59" applyNumberFormat="1" applyFont="1" applyFill="1" applyBorder="1" applyAlignment="1">
      <alignment horizontal="center"/>
      <protection/>
    </xf>
    <xf numFmtId="179" fontId="0" fillId="35" borderId="10" xfId="59" applyNumberFormat="1" applyFont="1" applyFill="1" applyBorder="1" applyAlignment="1">
      <alignment horizontal="center"/>
      <protection/>
    </xf>
    <xf numFmtId="179" fontId="0" fillId="32" borderId="0" xfId="59" applyNumberFormat="1" applyFont="1" applyFill="1" applyBorder="1" applyAlignment="1">
      <alignment horizontal="center"/>
      <protection/>
    </xf>
    <xf numFmtId="0" fontId="0" fillId="44" borderId="0" xfId="0" applyFont="1" applyFill="1" applyBorder="1" applyAlignment="1">
      <alignment horizontal="center"/>
    </xf>
    <xf numFmtId="0" fontId="0" fillId="14" borderId="0" xfId="0" applyFont="1" applyFill="1" applyBorder="1" applyAlignment="1">
      <alignment horizontal="center"/>
    </xf>
    <xf numFmtId="0" fontId="0" fillId="36" borderId="0" xfId="0" applyFont="1" applyFill="1" applyBorder="1" applyAlignment="1">
      <alignment/>
    </xf>
    <xf numFmtId="0" fontId="0" fillId="6" borderId="0" xfId="0" applyFill="1" applyBorder="1" applyAlignment="1">
      <alignment horizontal="center"/>
    </xf>
    <xf numFmtId="0" fontId="0" fillId="6" borderId="15" xfId="0" applyFont="1" applyFill="1" applyBorder="1" applyAlignment="1">
      <alignment horizontal="center"/>
    </xf>
    <xf numFmtId="0" fontId="5" fillId="46" borderId="29" xfId="0" applyFont="1" applyFill="1" applyBorder="1" applyAlignment="1" quotePrefix="1">
      <alignment horizontal="center"/>
    </xf>
    <xf numFmtId="0" fontId="5" fillId="46" borderId="30" xfId="0" applyFont="1" applyFill="1" applyBorder="1" applyAlignment="1" quotePrefix="1">
      <alignment horizontal="center"/>
    </xf>
    <xf numFmtId="0" fontId="5" fillId="46" borderId="31" xfId="0" applyFont="1" applyFill="1" applyBorder="1" applyAlignment="1" quotePrefix="1">
      <alignment horizontal="center"/>
    </xf>
    <xf numFmtId="0" fontId="0" fillId="37" borderId="17" xfId="0" applyFill="1" applyBorder="1" applyAlignment="1">
      <alignment horizontal="left"/>
    </xf>
    <xf numFmtId="0" fontId="0" fillId="37" borderId="17" xfId="0" applyFont="1" applyFill="1" applyBorder="1" applyAlignment="1">
      <alignment horizontal="center"/>
    </xf>
    <xf numFmtId="49" fontId="0" fillId="37" borderId="17" xfId="0" applyNumberFormat="1" applyFill="1" applyBorder="1" applyAlignment="1">
      <alignment horizontal="center"/>
    </xf>
    <xf numFmtId="185" fontId="0" fillId="37" borderId="17" xfId="0" applyNumberFormat="1" applyFont="1" applyFill="1" applyBorder="1" applyAlignment="1">
      <alignment horizontal="center"/>
    </xf>
    <xf numFmtId="0" fontId="0" fillId="37" borderId="0" xfId="0" applyFill="1" applyBorder="1" applyAlignment="1">
      <alignment horizontal="left"/>
    </xf>
    <xf numFmtId="185" fontId="0" fillId="37" borderId="0" xfId="0" applyNumberFormat="1" applyFont="1" applyFill="1" applyBorder="1" applyAlignment="1">
      <alignment horizontal="center"/>
    </xf>
    <xf numFmtId="0" fontId="0" fillId="37" borderId="15" xfId="0" applyFill="1" applyBorder="1" applyAlignment="1">
      <alignment horizontal="center"/>
    </xf>
    <xf numFmtId="0" fontId="0" fillId="45" borderId="0" xfId="0" applyFill="1" applyBorder="1" applyAlignment="1">
      <alignment horizontal="left"/>
    </xf>
    <xf numFmtId="49" fontId="0" fillId="45" borderId="0" xfId="0" applyNumberFormat="1" applyFill="1" applyBorder="1" applyAlignment="1">
      <alignment horizontal="center"/>
    </xf>
    <xf numFmtId="185" fontId="0" fillId="45" borderId="0" xfId="0" applyNumberFormat="1" applyFont="1" applyFill="1" applyBorder="1" applyAlignment="1">
      <alignment horizontal="center"/>
    </xf>
    <xf numFmtId="0" fontId="0" fillId="45" borderId="15" xfId="0" applyFill="1" applyBorder="1" applyAlignment="1">
      <alignment horizontal="center"/>
    </xf>
    <xf numFmtId="0" fontId="0" fillId="11" borderId="0" xfId="0" applyFill="1" applyBorder="1" applyAlignment="1">
      <alignment horizontal="left"/>
    </xf>
    <xf numFmtId="49" fontId="0" fillId="11" borderId="0" xfId="0" applyNumberFormat="1" applyFill="1" applyBorder="1" applyAlignment="1">
      <alignment horizontal="center"/>
    </xf>
    <xf numFmtId="185" fontId="0" fillId="11" borderId="0" xfId="0" applyNumberFormat="1" applyFont="1" applyFill="1" applyBorder="1" applyAlignment="1">
      <alignment horizontal="center"/>
    </xf>
    <xf numFmtId="0" fontId="0" fillId="33" borderId="0" xfId="0" applyFont="1" applyFill="1" applyBorder="1" applyAlignment="1">
      <alignment horizontal="left"/>
    </xf>
    <xf numFmtId="0" fontId="0" fillId="33" borderId="0" xfId="0" applyFill="1" applyBorder="1" applyAlignment="1">
      <alignment horizontal="left"/>
    </xf>
    <xf numFmtId="185" fontId="0" fillId="33" borderId="0" xfId="0" applyNumberFormat="1" applyFont="1" applyFill="1" applyBorder="1" applyAlignment="1">
      <alignment horizontal="center"/>
    </xf>
    <xf numFmtId="0" fontId="0" fillId="6" borderId="0" xfId="0" applyFill="1" applyBorder="1" applyAlignment="1">
      <alignment horizontal="left"/>
    </xf>
    <xf numFmtId="185" fontId="0" fillId="6" borderId="0" xfId="0" applyNumberFormat="1" applyFont="1" applyFill="1" applyBorder="1" applyAlignment="1">
      <alignment horizontal="center"/>
    </xf>
    <xf numFmtId="0" fontId="0" fillId="13" borderId="0" xfId="0" applyFill="1" applyBorder="1" applyAlignment="1">
      <alignment horizontal="left"/>
    </xf>
    <xf numFmtId="49" fontId="0" fillId="13" borderId="0" xfId="0" applyNumberFormat="1" applyFill="1" applyBorder="1" applyAlignment="1">
      <alignment horizontal="center"/>
    </xf>
    <xf numFmtId="185" fontId="0" fillId="13" borderId="0" xfId="0" applyNumberFormat="1" applyFont="1" applyFill="1" applyBorder="1" applyAlignment="1">
      <alignment horizontal="center"/>
    </xf>
    <xf numFmtId="0" fontId="0" fillId="32" borderId="0" xfId="0" applyFill="1" applyBorder="1" applyAlignment="1">
      <alignment horizontal="left"/>
    </xf>
    <xf numFmtId="49" fontId="0" fillId="32" borderId="0" xfId="0" applyNumberFormat="1" applyFill="1" applyBorder="1" applyAlignment="1">
      <alignment horizontal="center"/>
    </xf>
    <xf numFmtId="185" fontId="0" fillId="32" borderId="0" xfId="0" applyNumberFormat="1" applyFont="1" applyFill="1" applyBorder="1" applyAlignment="1">
      <alignment horizontal="center"/>
    </xf>
    <xf numFmtId="0" fontId="0" fillId="34" borderId="0" xfId="0" applyFill="1" applyBorder="1" applyAlignment="1">
      <alignment horizontal="left"/>
    </xf>
    <xf numFmtId="49" fontId="0" fillId="34" borderId="0" xfId="0" applyNumberFormat="1" applyFill="1" applyBorder="1" applyAlignment="1">
      <alignment horizontal="center"/>
    </xf>
    <xf numFmtId="185" fontId="0" fillId="34" borderId="0" xfId="0" applyNumberFormat="1" applyFont="1" applyFill="1" applyBorder="1" applyAlignment="1">
      <alignment horizontal="center"/>
    </xf>
    <xf numFmtId="0" fontId="0" fillId="0" borderId="0" xfId="0" applyFill="1" applyBorder="1" applyAlignment="1">
      <alignment horizontal="left"/>
    </xf>
    <xf numFmtId="185" fontId="0" fillId="0" borderId="0" xfId="0" applyNumberFormat="1" applyFont="1" applyFill="1" applyBorder="1" applyAlignment="1">
      <alignment horizontal="center"/>
    </xf>
    <xf numFmtId="179" fontId="5" fillId="34" borderId="15" xfId="0" applyNumberFormat="1" applyFont="1" applyFill="1" applyBorder="1" applyAlignment="1">
      <alignment horizontal="center"/>
    </xf>
    <xf numFmtId="179" fontId="5" fillId="32" borderId="15" xfId="0" applyNumberFormat="1" applyFont="1" applyFill="1" applyBorder="1" applyAlignment="1">
      <alignment horizontal="center"/>
    </xf>
    <xf numFmtId="179" fontId="5" fillId="41" borderId="15" xfId="0" applyNumberFormat="1" applyFont="1" applyFill="1" applyBorder="1" applyAlignment="1">
      <alignment horizontal="center"/>
    </xf>
    <xf numFmtId="0" fontId="5" fillId="35" borderId="10" xfId="0" applyFont="1" applyFill="1" applyBorder="1" applyAlignment="1">
      <alignment horizontal="center"/>
    </xf>
    <xf numFmtId="179" fontId="5" fillId="35" borderId="19" xfId="0" applyNumberFormat="1" applyFont="1" applyFill="1" applyBorder="1" applyAlignment="1">
      <alignment horizontal="center"/>
    </xf>
    <xf numFmtId="0" fontId="0" fillId="35" borderId="16" xfId="0" applyFill="1" applyBorder="1" applyAlignment="1">
      <alignment horizontal="center"/>
    </xf>
    <xf numFmtId="0" fontId="0" fillId="35" borderId="17" xfId="0" applyFill="1" applyBorder="1" applyAlignment="1">
      <alignment/>
    </xf>
    <xf numFmtId="0" fontId="0" fillId="35" borderId="17" xfId="0" applyFill="1" applyBorder="1" applyAlignment="1">
      <alignment horizontal="center"/>
    </xf>
    <xf numFmtId="49" fontId="5" fillId="35" borderId="17" xfId="0" applyNumberFormat="1" applyFont="1" applyFill="1" applyBorder="1" applyAlignment="1">
      <alignment/>
    </xf>
    <xf numFmtId="0" fontId="5" fillId="35" borderId="17" xfId="0" applyFont="1" applyFill="1" applyBorder="1" applyAlignment="1">
      <alignment/>
    </xf>
    <xf numFmtId="0" fontId="0" fillId="35" borderId="17" xfId="0" applyNumberFormat="1" applyFont="1" applyFill="1" applyBorder="1" applyAlignment="1">
      <alignment horizontal="center"/>
    </xf>
    <xf numFmtId="180" fontId="0" fillId="35" borderId="17" xfId="0" applyNumberFormat="1" applyFont="1" applyFill="1" applyBorder="1" applyAlignment="1">
      <alignment horizontal="center"/>
    </xf>
    <xf numFmtId="2" fontId="0" fillId="35" borderId="17" xfId="0" applyNumberFormat="1" applyFill="1" applyBorder="1" applyAlignment="1">
      <alignment horizontal="center"/>
    </xf>
    <xf numFmtId="49" fontId="0" fillId="41" borderId="0" xfId="0" applyNumberFormat="1" applyFill="1" applyBorder="1" applyAlignment="1">
      <alignment/>
    </xf>
    <xf numFmtId="0" fontId="0" fillId="36" borderId="14" xfId="0" applyFill="1" applyBorder="1" applyAlignment="1">
      <alignment horizontal="center"/>
    </xf>
    <xf numFmtId="0" fontId="0" fillId="36" borderId="0" xfId="0" applyNumberFormat="1" applyFont="1" applyFill="1" applyBorder="1" applyAlignment="1">
      <alignment horizontal="center"/>
    </xf>
    <xf numFmtId="2" fontId="0" fillId="36" borderId="0" xfId="0" applyNumberFormat="1" applyFill="1" applyBorder="1" applyAlignment="1">
      <alignment horizontal="center"/>
    </xf>
    <xf numFmtId="49" fontId="5" fillId="41" borderId="0" xfId="0" applyNumberFormat="1" applyFont="1" applyFill="1" applyBorder="1" applyAlignment="1">
      <alignment/>
    </xf>
    <xf numFmtId="0" fontId="5" fillId="41" borderId="0" xfId="0" applyFont="1" applyFill="1" applyBorder="1" applyAlignment="1">
      <alignment/>
    </xf>
    <xf numFmtId="49" fontId="5" fillId="33" borderId="0" xfId="0" applyNumberFormat="1" applyFont="1" applyFill="1" applyBorder="1" applyAlignment="1">
      <alignment/>
    </xf>
    <xf numFmtId="49" fontId="5" fillId="37" borderId="0" xfId="0" applyNumberFormat="1" applyFont="1" applyFill="1" applyBorder="1" applyAlignment="1">
      <alignment/>
    </xf>
    <xf numFmtId="0" fontId="5" fillId="37" borderId="0" xfId="0" applyFont="1" applyFill="1" applyBorder="1" applyAlignment="1">
      <alignment/>
    </xf>
    <xf numFmtId="49" fontId="0" fillId="33" borderId="0" xfId="0" applyNumberFormat="1" applyFill="1" applyBorder="1" applyAlignment="1">
      <alignment/>
    </xf>
    <xf numFmtId="49" fontId="0" fillId="38" borderId="0" xfId="0" applyNumberFormat="1" applyFill="1" applyBorder="1" applyAlignment="1">
      <alignment/>
    </xf>
    <xf numFmtId="0" fontId="0" fillId="7" borderId="14" xfId="0" applyFill="1" applyBorder="1" applyAlignment="1">
      <alignment horizontal="center"/>
    </xf>
    <xf numFmtId="0" fontId="0" fillId="7" borderId="0" xfId="0" applyFill="1" applyBorder="1" applyAlignment="1">
      <alignment/>
    </xf>
    <xf numFmtId="0" fontId="0" fillId="7" borderId="0" xfId="0" applyFill="1" applyBorder="1" applyAlignment="1">
      <alignment horizontal="center"/>
    </xf>
    <xf numFmtId="49" fontId="0" fillId="7" borderId="0" xfId="0" applyNumberFormat="1" applyFill="1" applyBorder="1" applyAlignment="1">
      <alignment/>
    </xf>
    <xf numFmtId="0" fontId="0" fillId="7" borderId="0" xfId="0" applyNumberFormat="1" applyFont="1" applyFill="1" applyBorder="1" applyAlignment="1">
      <alignment horizontal="center"/>
    </xf>
    <xf numFmtId="2" fontId="0" fillId="7" borderId="0" xfId="0" applyNumberFormat="1" applyFill="1" applyBorder="1" applyAlignment="1">
      <alignment horizontal="center"/>
    </xf>
    <xf numFmtId="0" fontId="0" fillId="33" borderId="20" xfId="0" applyFill="1" applyBorder="1" applyAlignment="1">
      <alignment horizontal="center"/>
    </xf>
    <xf numFmtId="180" fontId="0" fillId="7" borderId="0" xfId="0" applyNumberFormat="1" applyFont="1" applyFill="1" applyBorder="1" applyAlignment="1">
      <alignment horizontal="center"/>
    </xf>
    <xf numFmtId="180" fontId="0" fillId="36" borderId="0" xfId="0" applyNumberFormat="1" applyFont="1" applyFill="1" applyBorder="1" applyAlignment="1">
      <alignment horizontal="center"/>
    </xf>
    <xf numFmtId="0" fontId="0" fillId="35" borderId="18" xfId="0" applyFill="1" applyBorder="1" applyAlignment="1">
      <alignment horizontal="center"/>
    </xf>
    <xf numFmtId="0" fontId="0" fillId="41" borderId="15" xfId="0" applyFill="1" applyBorder="1" applyAlignment="1">
      <alignment horizontal="center"/>
    </xf>
    <xf numFmtId="0" fontId="0" fillId="38" borderId="15" xfId="0" applyFill="1" applyBorder="1" applyAlignment="1">
      <alignment horizontal="center"/>
    </xf>
    <xf numFmtId="0" fontId="0" fillId="7" borderId="15" xfId="0" applyFill="1" applyBorder="1" applyAlignment="1">
      <alignment horizontal="center"/>
    </xf>
    <xf numFmtId="0" fontId="0" fillId="36" borderId="15" xfId="0" applyFill="1" applyBorder="1" applyAlignment="1">
      <alignment horizontal="center"/>
    </xf>
    <xf numFmtId="0" fontId="5" fillId="46" borderId="32" xfId="0" applyNumberFormat="1" applyFont="1" applyFill="1" applyBorder="1" applyAlignment="1">
      <alignment horizontal="center"/>
    </xf>
    <xf numFmtId="0" fontId="5" fillId="46" borderId="27" xfId="0" applyNumberFormat="1" applyFont="1" applyFill="1" applyBorder="1" applyAlignment="1">
      <alignment horizontal="center"/>
    </xf>
    <xf numFmtId="0" fontId="5" fillId="46" borderId="33" xfId="0" applyNumberFormat="1" applyFont="1" applyFill="1" applyBorder="1" applyAlignment="1">
      <alignment horizontal="center"/>
    </xf>
    <xf numFmtId="0" fontId="0" fillId="11" borderId="10" xfId="0" applyFont="1" applyFill="1" applyBorder="1" applyAlignment="1">
      <alignment horizontal="center"/>
    </xf>
    <xf numFmtId="0" fontId="0" fillId="11" borderId="10" xfId="0" applyFont="1" applyFill="1" applyBorder="1" applyAlignment="1">
      <alignment/>
    </xf>
    <xf numFmtId="0" fontId="0" fillId="11" borderId="10" xfId="0" applyFill="1" applyBorder="1" applyAlignment="1">
      <alignment horizontal="center"/>
    </xf>
    <xf numFmtId="0" fontId="0" fillId="11" borderId="19" xfId="0" applyFont="1" applyFill="1" applyBorder="1" applyAlignment="1">
      <alignment horizontal="center"/>
    </xf>
    <xf numFmtId="0" fontId="0" fillId="0" borderId="10" xfId="0" applyFill="1" applyBorder="1" applyAlignment="1">
      <alignment/>
    </xf>
    <xf numFmtId="0" fontId="5" fillId="37" borderId="17" xfId="0" applyFont="1" applyFill="1" applyBorder="1" applyAlignment="1">
      <alignment/>
    </xf>
    <xf numFmtId="0" fontId="0" fillId="44" borderId="14" xfId="0" applyFill="1" applyBorder="1" applyAlignment="1">
      <alignment horizontal="center"/>
    </xf>
    <xf numFmtId="0" fontId="0" fillId="44" borderId="0" xfId="0" applyFill="1" applyBorder="1" applyAlignment="1">
      <alignment/>
    </xf>
    <xf numFmtId="0" fontId="0" fillId="44" borderId="0" xfId="0" applyFill="1" applyBorder="1" applyAlignment="1">
      <alignment horizontal="center"/>
    </xf>
    <xf numFmtId="0" fontId="5" fillId="44" borderId="0" xfId="0" applyFont="1" applyFill="1" applyBorder="1" applyAlignment="1">
      <alignment/>
    </xf>
    <xf numFmtId="0" fontId="0" fillId="44" borderId="0" xfId="0" applyNumberFormat="1" applyFont="1" applyFill="1" applyBorder="1" applyAlignment="1">
      <alignment horizontal="center"/>
    </xf>
    <xf numFmtId="180" fontId="0" fillId="44" borderId="0" xfId="0" applyNumberFormat="1" applyFont="1" applyFill="1" applyBorder="1" applyAlignment="1">
      <alignment horizontal="center"/>
    </xf>
    <xf numFmtId="2" fontId="0" fillId="44" borderId="0" xfId="0" applyNumberFormat="1" applyFill="1" applyBorder="1" applyAlignment="1">
      <alignment horizontal="center"/>
    </xf>
    <xf numFmtId="0" fontId="0" fillId="44" borderId="15" xfId="0" applyFill="1" applyBorder="1" applyAlignment="1">
      <alignment horizontal="center"/>
    </xf>
    <xf numFmtId="0" fontId="5" fillId="34" borderId="0" xfId="0" applyFont="1" applyFill="1" applyBorder="1" applyAlignment="1">
      <alignment/>
    </xf>
    <xf numFmtId="0" fontId="5" fillId="38" borderId="0" xfId="0" applyFont="1" applyFill="1" applyBorder="1" applyAlignment="1">
      <alignment/>
    </xf>
    <xf numFmtId="49" fontId="5" fillId="37" borderId="17" xfId="0" applyNumberFormat="1" applyFont="1" applyFill="1" applyBorder="1" applyAlignment="1">
      <alignment horizontal="center"/>
    </xf>
    <xf numFmtId="49" fontId="5" fillId="33" borderId="0" xfId="0" applyNumberFormat="1" applyFont="1" applyFill="1" applyBorder="1" applyAlignment="1">
      <alignment horizontal="center"/>
    </xf>
    <xf numFmtId="49" fontId="5" fillId="44" borderId="0" xfId="0" applyNumberFormat="1" applyFont="1" applyFill="1" applyBorder="1" applyAlignment="1">
      <alignment horizontal="center"/>
    </xf>
    <xf numFmtId="49" fontId="5" fillId="34" borderId="0" xfId="0" applyNumberFormat="1" applyFont="1" applyFill="1" applyBorder="1" applyAlignment="1">
      <alignment horizontal="center"/>
    </xf>
    <xf numFmtId="49" fontId="5" fillId="38" borderId="0" xfId="0" applyNumberFormat="1" applyFont="1" applyFill="1" applyBorder="1" applyAlignment="1">
      <alignment horizontal="center"/>
    </xf>
    <xf numFmtId="49" fontId="0" fillId="36" borderId="0" xfId="0" applyNumberFormat="1" applyFill="1" applyBorder="1" applyAlignment="1">
      <alignment horizontal="center"/>
    </xf>
    <xf numFmtId="49" fontId="0" fillId="0" borderId="10" xfId="0" applyNumberFormat="1" applyFill="1" applyBorder="1" applyAlignment="1">
      <alignment horizontal="center"/>
    </xf>
    <xf numFmtId="0" fontId="0" fillId="11" borderId="16" xfId="0" applyFill="1" applyBorder="1" applyAlignment="1">
      <alignment horizontal="center"/>
    </xf>
    <xf numFmtId="0" fontId="0" fillId="11" borderId="17" xfId="0" applyFill="1" applyBorder="1" applyAlignment="1">
      <alignment/>
    </xf>
    <xf numFmtId="0" fontId="0" fillId="11" borderId="17" xfId="0" applyFill="1" applyBorder="1" applyAlignment="1">
      <alignment horizontal="center"/>
    </xf>
    <xf numFmtId="49" fontId="0" fillId="11" borderId="17" xfId="0" applyNumberFormat="1" applyFill="1" applyBorder="1" applyAlignment="1">
      <alignment horizontal="center"/>
    </xf>
    <xf numFmtId="0" fontId="0" fillId="11" borderId="17" xfId="0" applyNumberFormat="1" applyFont="1" applyFill="1" applyBorder="1" applyAlignment="1">
      <alignment horizontal="center"/>
    </xf>
    <xf numFmtId="0" fontId="0" fillId="11" borderId="18" xfId="0" applyNumberFormat="1" applyFont="1" applyFill="1" applyBorder="1" applyAlignment="1">
      <alignment horizontal="center"/>
    </xf>
    <xf numFmtId="180" fontId="0" fillId="11" borderId="17" xfId="0" applyNumberFormat="1" applyFont="1" applyFill="1" applyBorder="1" applyAlignment="1">
      <alignment horizontal="center"/>
    </xf>
    <xf numFmtId="2" fontId="0" fillId="11" borderId="17" xfId="0" applyNumberFormat="1" applyFill="1" applyBorder="1" applyAlignment="1">
      <alignment horizontal="center"/>
    </xf>
    <xf numFmtId="0" fontId="0" fillId="11" borderId="18" xfId="0" applyFill="1" applyBorder="1" applyAlignment="1">
      <alignment horizontal="center"/>
    </xf>
    <xf numFmtId="0" fontId="0" fillId="33" borderId="15" xfId="0" applyNumberFormat="1" applyFont="1" applyFill="1" applyBorder="1" applyAlignment="1">
      <alignment horizontal="center"/>
    </xf>
    <xf numFmtId="49" fontId="5" fillId="37" borderId="0" xfId="0" applyNumberFormat="1" applyFont="1" applyFill="1" applyBorder="1" applyAlignment="1">
      <alignment horizontal="center"/>
    </xf>
    <xf numFmtId="0" fontId="0" fillId="37" borderId="15" xfId="0" applyNumberFormat="1" applyFont="1" applyFill="1" applyBorder="1" applyAlignment="1">
      <alignment horizontal="center"/>
    </xf>
    <xf numFmtId="49" fontId="0" fillId="38" borderId="0" xfId="0" applyNumberFormat="1" applyFill="1" applyBorder="1" applyAlignment="1">
      <alignment horizontal="center"/>
    </xf>
    <xf numFmtId="0" fontId="0" fillId="38" borderId="15" xfId="0" applyNumberFormat="1" applyFont="1" applyFill="1" applyBorder="1" applyAlignment="1">
      <alignment horizontal="center"/>
    </xf>
    <xf numFmtId="0" fontId="0" fillId="45" borderId="15" xfId="0" applyNumberFormat="1" applyFont="1" applyFill="1" applyBorder="1" applyAlignment="1">
      <alignment horizontal="center"/>
    </xf>
    <xf numFmtId="0" fontId="0" fillId="37" borderId="17" xfId="0" applyFont="1" applyFill="1" applyBorder="1" applyAlignment="1">
      <alignment/>
    </xf>
    <xf numFmtId="0" fontId="0" fillId="37" borderId="16" xfId="0" applyFont="1" applyFill="1" applyBorder="1" applyAlignment="1">
      <alignment horizontal="center"/>
    </xf>
    <xf numFmtId="0" fontId="0" fillId="37" borderId="18" xfId="0" applyFont="1" applyFill="1" applyBorder="1" applyAlignment="1">
      <alignment horizontal="center"/>
    </xf>
    <xf numFmtId="179" fontId="5" fillId="37" borderId="0" xfId="0" applyNumberFormat="1" applyFont="1" applyFill="1" applyBorder="1" applyAlignment="1">
      <alignment horizontal="center"/>
    </xf>
    <xf numFmtId="0" fontId="0" fillId="34" borderId="14" xfId="0" applyFont="1" applyFill="1" applyBorder="1" applyAlignment="1">
      <alignment horizontal="center"/>
    </xf>
    <xf numFmtId="0" fontId="0" fillId="32" borderId="14" xfId="0" applyFont="1" applyFill="1" applyBorder="1" applyAlignment="1">
      <alignment horizontal="center"/>
    </xf>
    <xf numFmtId="0" fontId="0" fillId="36" borderId="14" xfId="0" applyFont="1" applyFill="1" applyBorder="1" applyAlignment="1">
      <alignment horizontal="center"/>
    </xf>
    <xf numFmtId="0" fontId="0" fillId="13" borderId="14" xfId="0" applyFont="1" applyFill="1" applyBorder="1" applyAlignment="1">
      <alignment horizontal="center"/>
    </xf>
    <xf numFmtId="0" fontId="0" fillId="35" borderId="14" xfId="0" applyFont="1" applyFill="1" applyBorder="1" applyAlignment="1">
      <alignment horizontal="center"/>
    </xf>
    <xf numFmtId="0" fontId="0" fillId="38" borderId="14" xfId="0" applyFont="1" applyFill="1" applyBorder="1" applyAlignment="1">
      <alignment horizontal="center"/>
    </xf>
    <xf numFmtId="0" fontId="0" fillId="33" borderId="14" xfId="0" applyFont="1" applyFill="1" applyBorder="1" applyAlignment="1">
      <alignment horizontal="center"/>
    </xf>
    <xf numFmtId="0" fontId="0" fillId="37" borderId="14" xfId="0" applyFont="1" applyFill="1" applyBorder="1" applyAlignment="1">
      <alignment horizontal="center"/>
    </xf>
    <xf numFmtId="0" fontId="0" fillId="11" borderId="14" xfId="0" applyFont="1" applyFill="1" applyBorder="1" applyAlignment="1">
      <alignment horizontal="center"/>
    </xf>
    <xf numFmtId="0" fontId="0" fillId="11" borderId="20" xfId="0" applyFont="1" applyFill="1" applyBorder="1" applyAlignment="1">
      <alignment horizontal="center"/>
    </xf>
    <xf numFmtId="0" fontId="0" fillId="11" borderId="0" xfId="0" applyFont="1" applyFill="1" applyBorder="1" applyAlignment="1">
      <alignment horizontal="center"/>
    </xf>
    <xf numFmtId="0" fontId="0" fillId="32" borderId="0" xfId="0" applyFont="1" applyFill="1" applyBorder="1" applyAlignment="1">
      <alignment horizontal="center"/>
    </xf>
    <xf numFmtId="0" fontId="0" fillId="38" borderId="0" xfId="0" applyFont="1" applyFill="1" applyBorder="1" applyAlignment="1">
      <alignment horizontal="center"/>
    </xf>
    <xf numFmtId="0" fontId="0" fillId="13" borderId="0" xfId="0" applyFont="1" applyFill="1" applyBorder="1" applyAlignment="1">
      <alignment horizontal="center"/>
    </xf>
    <xf numFmtId="0" fontId="0" fillId="34" borderId="0" xfId="0" applyFont="1" applyFill="1" applyBorder="1" applyAlignment="1">
      <alignment horizontal="center"/>
    </xf>
    <xf numFmtId="0" fontId="0" fillId="36" borderId="0" xfId="0" applyFont="1" applyFill="1" applyBorder="1" applyAlignment="1">
      <alignment horizontal="center"/>
    </xf>
    <xf numFmtId="0" fontId="0" fillId="37" borderId="15" xfId="0" applyFont="1" applyFill="1" applyBorder="1" applyAlignment="1">
      <alignment horizontal="center"/>
    </xf>
    <xf numFmtId="49" fontId="5" fillId="11" borderId="17" xfId="0" applyNumberFormat="1" applyFont="1" applyFill="1" applyBorder="1" applyAlignment="1">
      <alignment/>
    </xf>
    <xf numFmtId="0" fontId="5" fillId="11" borderId="17" xfId="0" applyFont="1" applyFill="1" applyBorder="1" applyAlignment="1">
      <alignment/>
    </xf>
    <xf numFmtId="49" fontId="0" fillId="37" borderId="0" xfId="0" applyNumberFormat="1" applyFill="1" applyBorder="1" applyAlignment="1">
      <alignment/>
    </xf>
    <xf numFmtId="49" fontId="0" fillId="45" borderId="0" xfId="0" applyNumberFormat="1" applyFill="1" applyBorder="1" applyAlignment="1">
      <alignment/>
    </xf>
    <xf numFmtId="0" fontId="0" fillId="43" borderId="0" xfId="0" applyFill="1" applyBorder="1" applyAlignment="1">
      <alignment/>
    </xf>
    <xf numFmtId="49" fontId="0" fillId="43" borderId="0" xfId="0" applyNumberFormat="1" applyFill="1" applyBorder="1" applyAlignment="1">
      <alignment/>
    </xf>
    <xf numFmtId="0" fontId="0" fillId="43" borderId="0" xfId="0" applyNumberFormat="1" applyFont="1" applyFill="1" applyBorder="1" applyAlignment="1">
      <alignment horizontal="center"/>
    </xf>
    <xf numFmtId="180" fontId="0" fillId="43" borderId="0" xfId="0" applyNumberFormat="1" applyFont="1" applyFill="1" applyBorder="1" applyAlignment="1">
      <alignment horizontal="center"/>
    </xf>
    <xf numFmtId="2" fontId="0" fillId="43" borderId="0" xfId="0" applyNumberFormat="1" applyFill="1" applyBorder="1" applyAlignment="1">
      <alignment horizontal="center"/>
    </xf>
    <xf numFmtId="0" fontId="4" fillId="47" borderId="0" xfId="0" applyFont="1" applyFill="1" applyBorder="1" applyAlignment="1">
      <alignment horizontal="center"/>
    </xf>
    <xf numFmtId="0" fontId="5" fillId="0" borderId="0" xfId="0" applyFont="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4" xfId="57" applyFont="1" applyBorder="1" applyAlignment="1">
      <alignment horizontal="center" vertical="center"/>
      <protection/>
    </xf>
    <xf numFmtId="0" fontId="5" fillId="0" borderId="0" xfId="57" applyFont="1" applyBorder="1" applyAlignment="1">
      <alignment horizontal="center" vertical="center"/>
      <protection/>
    </xf>
    <xf numFmtId="0" fontId="0" fillId="0" borderId="0" xfId="0" applyFont="1" applyAlignment="1">
      <alignment horizontal="left" vertical="top" wrapText="1"/>
    </xf>
    <xf numFmtId="0" fontId="0" fillId="44" borderId="18" xfId="0" applyFont="1" applyFill="1" applyBorder="1" applyAlignment="1">
      <alignment horizontal="center" vertical="center"/>
    </xf>
    <xf numFmtId="0" fontId="0" fillId="44" borderId="19" xfId="0" applyFont="1" applyFill="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Title" xfId="63"/>
    <cellStyle name="Total" xfId="64"/>
    <cellStyle name="Warning Text" xfId="65"/>
  </cellStyles>
  <dxfs count="25">
    <dxf>
      <fill>
        <patternFill>
          <bgColor theme="3" tint="0.3999499976634979"/>
        </patternFill>
      </fill>
    </dxf>
    <dxf>
      <fill>
        <patternFill>
          <bgColor theme="7" tint="0.5999600291252136"/>
        </patternFill>
      </fill>
    </dxf>
    <dxf>
      <fill>
        <patternFill>
          <bgColor theme="7" tint="0.3999499976634979"/>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rgb="FFFF0000"/>
        </patternFill>
      </fill>
    </dxf>
    <dxf>
      <fill>
        <patternFill>
          <bgColor theme="9" tint="-0.4999699890613556"/>
        </patternFill>
      </fill>
    </dxf>
    <dxf>
      <fill>
        <patternFill>
          <bgColor theme="3" tint="0.5999600291252136"/>
        </patternFill>
      </fill>
      <border/>
    </dxf>
    <dxf>
      <fill>
        <patternFill>
          <bgColor theme="8" tint="0.7999799847602844"/>
        </patternFill>
      </fill>
      <border/>
    </dxf>
    <dxf>
      <fill>
        <patternFill>
          <bgColor theme="9" tint="0.3999499976634979"/>
        </patternFill>
      </fill>
      <border/>
    </dxf>
    <dxf>
      <fill>
        <patternFill>
          <bgColor theme="9" tint="0.5999600291252136"/>
        </patternFill>
      </fill>
      <border/>
    </dxf>
    <dxf>
      <fill>
        <patternFill>
          <bgColor rgb="FFFFFF00"/>
        </patternFill>
      </fill>
      <border/>
    </dxf>
    <dxf>
      <fill>
        <patternFill>
          <bgColor rgb="FFFFFF99"/>
        </patternFill>
      </fill>
      <border/>
    </dxf>
    <dxf>
      <fill>
        <patternFill>
          <bgColor rgb="FF92D050"/>
        </patternFill>
      </fill>
      <border/>
    </dxf>
    <dxf>
      <fill>
        <patternFill>
          <bgColor theme="6" tint="0.399949997663497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X5%20Championship%202017%20R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X5%20Championship%202017%20R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hampionship-2017-R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1">
        <row r="2">
          <cell r="AE2" t="str">
            <v>SNA</v>
          </cell>
          <cell r="AF2" t="str">
            <v>Robert Downes</v>
          </cell>
          <cell r="AG2">
            <v>0.0011239236111111111</v>
          </cell>
        </row>
        <row r="3">
          <cell r="AE3" t="str">
            <v>SNB</v>
          </cell>
          <cell r="AF3" t="str">
            <v>Peter Dannock</v>
          </cell>
          <cell r="AG3">
            <v>0.000844699074074074</v>
          </cell>
        </row>
        <row r="4">
          <cell r="AE4" t="str">
            <v>SNC</v>
          </cell>
          <cell r="AF4" t="str">
            <v>Robert Hart</v>
          </cell>
          <cell r="AG4">
            <v>0.0008065972222222221</v>
          </cell>
        </row>
        <row r="5">
          <cell r="AE5" t="str">
            <v>SND</v>
          </cell>
        </row>
        <row r="6">
          <cell r="AE6" t="str">
            <v>NAC</v>
          </cell>
          <cell r="AF6" t="str">
            <v>Tim Emery</v>
          </cell>
          <cell r="AG6">
            <v>0.0008333101851851852</v>
          </cell>
        </row>
        <row r="7">
          <cell r="AE7" t="str">
            <v>NBC</v>
          </cell>
          <cell r="AF7" t="str">
            <v>Noel Heritage</v>
          </cell>
          <cell r="AG7">
            <v>0.0008369212962962964</v>
          </cell>
        </row>
        <row r="8">
          <cell r="AE8" t="str">
            <v>ABMOD</v>
          </cell>
        </row>
        <row r="9">
          <cell r="AE9" t="str">
            <v>CDMOD</v>
          </cell>
        </row>
        <row r="10">
          <cell r="AE10" t="str">
            <v>SMOD</v>
          </cell>
          <cell r="AF10" t="str">
            <v>Russell Garner</v>
          </cell>
          <cell r="AG10">
            <v>0.0007832523148148149</v>
          </cell>
        </row>
        <row r="11">
          <cell r="AE11" t="str">
            <v>RES</v>
          </cell>
          <cell r="AF11" t="str">
            <v>Brendan Beavis</v>
          </cell>
          <cell r="AG11">
            <v>0.0007752662037037037</v>
          </cell>
        </row>
        <row r="12">
          <cell r="AE12" t="str">
            <v>OPN</v>
          </cell>
          <cell r="AF12" t="str">
            <v>Brendan Beavis</v>
          </cell>
          <cell r="AG12">
            <v>0.0007770833333333333</v>
          </cell>
        </row>
      </sheetData>
      <sheetData sheetId="4">
        <row r="2">
          <cell r="AE2" t="str">
            <v>SNA</v>
          </cell>
          <cell r="AF2" t="str">
            <v>Robert Downes</v>
          </cell>
          <cell r="AG2">
            <v>0.0011239236111111111</v>
          </cell>
        </row>
        <row r="3">
          <cell r="AE3" t="str">
            <v>SNB</v>
          </cell>
          <cell r="AF3" t="str">
            <v>James Sanderson</v>
          </cell>
          <cell r="AG3">
            <v>0.001100925925925926</v>
          </cell>
        </row>
        <row r="4">
          <cell r="AE4" t="str">
            <v>SNC</v>
          </cell>
          <cell r="AF4" t="str">
            <v>Robert Hart</v>
          </cell>
          <cell r="AG4">
            <v>0.0010593518518518517</v>
          </cell>
        </row>
        <row r="5">
          <cell r="AE5" t="str">
            <v>SND</v>
          </cell>
          <cell r="AF5" t="str">
            <v>Tim Edwards</v>
          </cell>
          <cell r="AG5">
            <v>0.0010967592592592593</v>
          </cell>
        </row>
        <row r="6">
          <cell r="AE6" t="str">
            <v>NAC</v>
          </cell>
          <cell r="AF6" t="str">
            <v>Robert Downes</v>
          </cell>
          <cell r="AG6">
            <v>0.0011213541666666665</v>
          </cell>
        </row>
        <row r="7">
          <cell r="AE7" t="str">
            <v>NBC</v>
          </cell>
          <cell r="AF7" t="str">
            <v>Peter Phillips</v>
          </cell>
          <cell r="AG7">
            <v>0.0010919907407407408</v>
          </cell>
        </row>
        <row r="8">
          <cell r="AE8" t="str">
            <v>ABMOD</v>
          </cell>
        </row>
        <row r="9">
          <cell r="AE9" t="str">
            <v>CDMOD</v>
          </cell>
        </row>
        <row r="10">
          <cell r="AE10" t="str">
            <v>SMOD</v>
          </cell>
          <cell r="AF10" t="str">
            <v>Russell Garner</v>
          </cell>
          <cell r="AG10">
            <v>0.001024664351851852</v>
          </cell>
        </row>
        <row r="11">
          <cell r="AE11" t="str">
            <v>RES</v>
          </cell>
          <cell r="AF11" t="str">
            <v>Paul Ledwith</v>
          </cell>
          <cell r="AG11">
            <v>0.0009836458333333333</v>
          </cell>
        </row>
        <row r="12">
          <cell r="AE12" t="str">
            <v>OPN</v>
          </cell>
          <cell r="AF12" t="str">
            <v>Steven Cook</v>
          </cell>
          <cell r="AG12">
            <v>0.0009611921296296297</v>
          </cell>
        </row>
      </sheetData>
      <sheetData sheetId="5">
        <row r="2">
          <cell r="AE2" t="str">
            <v>SNA</v>
          </cell>
          <cell r="AF2" t="str">
            <v>Robert Downes</v>
          </cell>
          <cell r="AG2">
            <v>0.0011239236111111111</v>
          </cell>
        </row>
        <row r="3">
          <cell r="AE3" t="str">
            <v>SNB</v>
          </cell>
          <cell r="AF3" t="str">
            <v>James Sanderson</v>
          </cell>
          <cell r="AG3">
            <v>0.001100925925925926</v>
          </cell>
        </row>
        <row r="4">
          <cell r="AE4" t="str">
            <v>SNC</v>
          </cell>
          <cell r="AF4" t="str">
            <v>Robert Hart</v>
          </cell>
          <cell r="AG4">
            <v>0.0010593518518518517</v>
          </cell>
        </row>
        <row r="5">
          <cell r="AE5" t="str">
            <v>SND</v>
          </cell>
          <cell r="AF5" t="str">
            <v>Randy Stagno N</v>
          </cell>
          <cell r="AG5" t="str">
            <v>1:31.7520</v>
          </cell>
        </row>
        <row r="6">
          <cell r="AE6" t="str">
            <v>NAC</v>
          </cell>
          <cell r="AF6" t="str">
            <v>Robert Downes</v>
          </cell>
          <cell r="AG6">
            <v>0.0011213541666666665</v>
          </cell>
        </row>
        <row r="7">
          <cell r="AE7" t="str">
            <v>NBC</v>
          </cell>
          <cell r="AF7" t="str">
            <v>Peter Phillips</v>
          </cell>
          <cell r="AG7">
            <v>0.0010919907407407408</v>
          </cell>
        </row>
        <row r="8">
          <cell r="AE8" t="str">
            <v>ABMOD</v>
          </cell>
          <cell r="AF8" t="str">
            <v>Dean Hasnat</v>
          </cell>
          <cell r="AG8" t="str">
            <v>1:31.5196</v>
          </cell>
        </row>
        <row r="9">
          <cell r="AE9" t="str">
            <v>CDMOD</v>
          </cell>
          <cell r="AF9" t="str">
            <v>Alan Conrad</v>
          </cell>
          <cell r="AG9" t="str">
            <v>1:30.9898</v>
          </cell>
        </row>
        <row r="10">
          <cell r="AE10" t="str">
            <v>SMOD</v>
          </cell>
          <cell r="AF10" t="str">
            <v>Russell Garner</v>
          </cell>
          <cell r="AG10">
            <v>0.001024664351851852</v>
          </cell>
        </row>
        <row r="11">
          <cell r="AE11" t="str">
            <v>RES</v>
          </cell>
          <cell r="AF11" t="str">
            <v>Paul Ledwith</v>
          </cell>
          <cell r="AG11">
            <v>0.0009836458333333333</v>
          </cell>
        </row>
        <row r="12">
          <cell r="AE12" t="str">
            <v>OPN</v>
          </cell>
          <cell r="AF12" t="str">
            <v>Steven Cook</v>
          </cell>
          <cell r="AG12">
            <v>0.0009611921296296297</v>
          </cell>
        </row>
      </sheetData>
      <sheetData sheetId="6">
        <row r="2">
          <cell r="AE2" t="str">
            <v>SNA</v>
          </cell>
          <cell r="AF2" t="str">
            <v>Robert Downes</v>
          </cell>
          <cell r="AG2">
            <v>0.001427349537037037</v>
          </cell>
        </row>
        <row r="3">
          <cell r="AE3" t="str">
            <v>SNB</v>
          </cell>
          <cell r="AF3" t="str">
            <v>Stephen Downes</v>
          </cell>
          <cell r="AG3">
            <v>0.0014279050925925926</v>
          </cell>
        </row>
        <row r="4">
          <cell r="AE4" t="str">
            <v>SNC</v>
          </cell>
          <cell r="AF4" t="str">
            <v>Alan Conrad</v>
          </cell>
          <cell r="AG4">
            <v>0.0013765625000000002</v>
          </cell>
        </row>
        <row r="5">
          <cell r="AE5" t="str">
            <v>SND</v>
          </cell>
          <cell r="AF5" t="str">
            <v>Randy Stagno Navarra</v>
          </cell>
          <cell r="AG5">
            <v>0.0014013310185185186</v>
          </cell>
        </row>
        <row r="6">
          <cell r="AE6" t="str">
            <v>NAC</v>
          </cell>
          <cell r="AF6" t="str">
            <v>Robert Downes</v>
          </cell>
          <cell r="AG6">
            <v>0.0014134722222222222</v>
          </cell>
        </row>
        <row r="7">
          <cell r="AE7" t="str">
            <v>NBC</v>
          </cell>
          <cell r="AF7" t="str">
            <v>Noel Heritage</v>
          </cell>
          <cell r="AG7">
            <v>0.0013983680555555557</v>
          </cell>
        </row>
        <row r="8">
          <cell r="AE8" t="str">
            <v>ABMOD</v>
          </cell>
        </row>
        <row r="9">
          <cell r="AE9" t="str">
            <v>CDMOD</v>
          </cell>
        </row>
        <row r="10">
          <cell r="AE10" t="str">
            <v>SMOD</v>
          </cell>
          <cell r="AF10" t="str">
            <v>Russell Garner</v>
          </cell>
          <cell r="AG10">
            <v>0.0012893287037037038</v>
          </cell>
        </row>
        <row r="11">
          <cell r="AE11" t="str">
            <v>RES</v>
          </cell>
          <cell r="AF11" t="str">
            <v>Paul Ledwith</v>
          </cell>
          <cell r="AG11">
            <v>0.0012727662037037037</v>
          </cell>
        </row>
        <row r="12">
          <cell r="AE12" t="str">
            <v>OPN</v>
          </cell>
          <cell r="AF12" t="str">
            <v>David Wilken</v>
          </cell>
          <cell r="AG12">
            <v>0.0012022337962962963</v>
          </cell>
        </row>
      </sheetData>
      <sheetData sheetId="9">
        <row r="2">
          <cell r="AE2" t="str">
            <v>SNA</v>
          </cell>
          <cell r="AF2" t="str">
            <v>Robert Downes</v>
          </cell>
          <cell r="AG2" t="str">
            <v>1:10.4297</v>
          </cell>
        </row>
        <row r="3">
          <cell r="AE3" t="str">
            <v>SNB</v>
          </cell>
          <cell r="AF3" t="str">
            <v>Simeon Ouzas</v>
          </cell>
          <cell r="AG3" t="str">
            <v>1:10.7023</v>
          </cell>
        </row>
        <row r="4">
          <cell r="AE4" t="str">
            <v>SNC</v>
          </cell>
          <cell r="AF4" t="str">
            <v>Alan Conrad</v>
          </cell>
          <cell r="AG4">
            <v>0.0007975925925925927</v>
          </cell>
        </row>
        <row r="5">
          <cell r="AE5" t="str">
            <v>SND</v>
          </cell>
        </row>
        <row r="6">
          <cell r="AE6" t="str">
            <v>NAC</v>
          </cell>
          <cell r="AF6" t="str">
            <v>Tim Emery</v>
          </cell>
          <cell r="AG6" t="str">
            <v>1:08.2979</v>
          </cell>
        </row>
        <row r="7">
          <cell r="AE7" t="str">
            <v>NBC</v>
          </cell>
          <cell r="AF7" t="str">
            <v>Noel Heritage</v>
          </cell>
          <cell r="AG7" t="str">
            <v>1:08.5686</v>
          </cell>
        </row>
        <row r="8">
          <cell r="AE8" t="str">
            <v>ABMOD</v>
          </cell>
        </row>
        <row r="9">
          <cell r="AE9" t="str">
            <v>CDMOD</v>
          </cell>
        </row>
        <row r="10">
          <cell r="AE10" t="str">
            <v>SMOD</v>
          </cell>
          <cell r="AF10" t="str">
            <v>Russell Garner</v>
          </cell>
          <cell r="AG10" t="str">
            <v>1:04.4118</v>
          </cell>
        </row>
        <row r="11">
          <cell r="AE11" t="str">
            <v>RES</v>
          </cell>
          <cell r="AF11" t="str">
            <v>Fabian Mastronardi</v>
          </cell>
          <cell r="AG11" t="str">
            <v>1:07.5963</v>
          </cell>
        </row>
        <row r="12">
          <cell r="AE12" t="str">
            <v>OPN</v>
          </cell>
        </row>
      </sheetData>
      <sheetData sheetId="11">
        <row r="7">
          <cell r="A7" t="str">
            <v>Class</v>
          </cell>
          <cell r="B7" t="str">
            <v>Description</v>
          </cell>
          <cell r="C7" t="str">
            <v>Code</v>
          </cell>
          <cell r="D7" t="str">
            <v>Rank</v>
          </cell>
        </row>
        <row r="8">
          <cell r="A8" t="str">
            <v>SNA</v>
          </cell>
          <cell r="B8" t="str">
            <v>Standard NA </v>
          </cell>
          <cell r="C8">
            <v>1</v>
          </cell>
          <cell r="D8">
            <v>1</v>
          </cell>
        </row>
        <row r="9">
          <cell r="A9" t="str">
            <v>SNB</v>
          </cell>
          <cell r="B9" t="str">
            <v>Standard NB </v>
          </cell>
          <cell r="C9">
            <v>2</v>
          </cell>
          <cell r="D9">
            <v>1</v>
          </cell>
        </row>
        <row r="10">
          <cell r="A10" t="str">
            <v>NAC</v>
          </cell>
          <cell r="B10" t="str">
            <v>NA Clubman </v>
          </cell>
          <cell r="C10">
            <v>3</v>
          </cell>
          <cell r="D10">
            <v>2</v>
          </cell>
        </row>
        <row r="11">
          <cell r="A11" t="str">
            <v>NBC</v>
          </cell>
          <cell r="B11" t="str">
            <v>NB Clubman</v>
          </cell>
          <cell r="C11">
            <v>4</v>
          </cell>
          <cell r="D11">
            <v>2</v>
          </cell>
        </row>
        <row r="12">
          <cell r="A12" t="str">
            <v>SNC</v>
          </cell>
          <cell r="B12" t="str">
            <v>Standard NC</v>
          </cell>
          <cell r="C12">
            <v>5</v>
          </cell>
          <cell r="D12">
            <v>3</v>
          </cell>
        </row>
        <row r="13">
          <cell r="A13" t="str">
            <v>SND</v>
          </cell>
          <cell r="B13" t="str">
            <v>Standard ND</v>
          </cell>
          <cell r="C13">
            <v>6</v>
          </cell>
          <cell r="D13">
            <v>3</v>
          </cell>
        </row>
        <row r="14">
          <cell r="A14" t="str">
            <v>ABMOD</v>
          </cell>
          <cell r="B14" t="str">
            <v>NA/NB Modified</v>
          </cell>
          <cell r="C14">
            <v>7</v>
          </cell>
          <cell r="D14">
            <v>4</v>
          </cell>
        </row>
        <row r="15">
          <cell r="A15" t="str">
            <v>CDMOD</v>
          </cell>
          <cell r="B15" t="str">
            <v>NC/ND Modified</v>
          </cell>
          <cell r="C15">
            <v>8</v>
          </cell>
          <cell r="D15">
            <v>4</v>
          </cell>
        </row>
        <row r="16">
          <cell r="A16" t="str">
            <v>SMOD</v>
          </cell>
          <cell r="B16" t="str">
            <v>Super Modified</v>
          </cell>
          <cell r="C16">
            <v>9</v>
          </cell>
          <cell r="D16">
            <v>5</v>
          </cell>
        </row>
        <row r="17">
          <cell r="A17" t="str">
            <v>RES</v>
          </cell>
          <cell r="B17" t="str">
            <v>Restricted Open</v>
          </cell>
          <cell r="C17">
            <v>10</v>
          </cell>
          <cell r="D17">
            <v>6</v>
          </cell>
        </row>
        <row r="18">
          <cell r="A18" t="str">
            <v>OPN</v>
          </cell>
          <cell r="B18" t="str">
            <v>Open</v>
          </cell>
          <cell r="C18">
            <v>11</v>
          </cell>
          <cell r="D18">
            <v>7</v>
          </cell>
        </row>
        <row r="21">
          <cell r="A21" t="str">
            <v>Place</v>
          </cell>
          <cell r="B21" t="str">
            <v>Score</v>
          </cell>
        </row>
        <row r="22">
          <cell r="A22">
            <v>1</v>
          </cell>
          <cell r="B22">
            <v>100</v>
          </cell>
        </row>
        <row r="23">
          <cell r="A23">
            <v>2</v>
          </cell>
          <cell r="B23">
            <v>75</v>
          </cell>
        </row>
        <row r="24">
          <cell r="A24">
            <v>3</v>
          </cell>
          <cell r="B24">
            <v>60</v>
          </cell>
        </row>
        <row r="25">
          <cell r="A25">
            <v>4</v>
          </cell>
          <cell r="B25">
            <v>45</v>
          </cell>
        </row>
        <row r="26">
          <cell r="A26">
            <v>5</v>
          </cell>
          <cell r="B26">
            <v>30</v>
          </cell>
        </row>
        <row r="27">
          <cell r="A27">
            <v>6</v>
          </cell>
          <cell r="B27">
            <v>15</v>
          </cell>
        </row>
        <row r="28">
          <cell r="A28">
            <v>7</v>
          </cell>
          <cell r="B28">
            <v>15</v>
          </cell>
        </row>
        <row r="29">
          <cell r="A29">
            <v>8</v>
          </cell>
          <cell r="B29">
            <v>15</v>
          </cell>
        </row>
        <row r="30">
          <cell r="A30">
            <v>9</v>
          </cell>
          <cell r="B30">
            <v>15</v>
          </cell>
        </row>
        <row r="31">
          <cell r="A31">
            <v>10</v>
          </cell>
          <cell r="B31">
            <v>15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mpionship Points"/>
      <sheetName val="Rd1 Broadford"/>
      <sheetName val="Rd2 Winton"/>
      <sheetName val="Rd3 Winton"/>
      <sheetName val="Rd4 Sandown"/>
      <sheetName val="Rd5 Sandown"/>
      <sheetName val="Championship Scoring"/>
    </sheetNames>
    <sheetDataSet>
      <sheetData sheetId="1">
        <row r="2">
          <cell r="AE2" t="str">
            <v>SNA</v>
          </cell>
          <cell r="AF2" t="str">
            <v>Robert Downes</v>
          </cell>
          <cell r="AG2">
            <v>0.0011239236111111111</v>
          </cell>
        </row>
        <row r="3">
          <cell r="AE3" t="str">
            <v>SNB</v>
          </cell>
          <cell r="AF3" t="str">
            <v>Peter Dannock</v>
          </cell>
          <cell r="AG3">
            <v>0.000844699074074074</v>
          </cell>
        </row>
        <row r="4">
          <cell r="AE4" t="str">
            <v>SNC</v>
          </cell>
          <cell r="AF4" t="str">
            <v>Robert Hart</v>
          </cell>
          <cell r="AG4">
            <v>0.0008065972222222221</v>
          </cell>
        </row>
        <row r="5">
          <cell r="AE5" t="str">
            <v>SND</v>
          </cell>
        </row>
        <row r="6">
          <cell r="AE6" t="str">
            <v>NAC</v>
          </cell>
          <cell r="AF6" t="str">
            <v>Tim Emery</v>
          </cell>
          <cell r="AG6">
            <v>0.0008333101851851852</v>
          </cell>
        </row>
        <row r="7">
          <cell r="AE7" t="str">
            <v>NBC</v>
          </cell>
          <cell r="AF7" t="str">
            <v>Noel Heritage</v>
          </cell>
          <cell r="AG7">
            <v>0.0008369212962962964</v>
          </cell>
        </row>
        <row r="8">
          <cell r="AE8" t="str">
            <v>ABMOD</v>
          </cell>
        </row>
        <row r="9">
          <cell r="AE9" t="str">
            <v>CDMOD</v>
          </cell>
        </row>
        <row r="10">
          <cell r="AE10" t="str">
            <v>SMOD</v>
          </cell>
          <cell r="AF10" t="str">
            <v>Russell Garner</v>
          </cell>
          <cell r="AG10">
            <v>0.0007832523148148149</v>
          </cell>
        </row>
        <row r="11">
          <cell r="AE11" t="str">
            <v>RES</v>
          </cell>
          <cell r="AF11" t="str">
            <v>Brendan Beavis</v>
          </cell>
          <cell r="AG11">
            <v>0.0007752662037037037</v>
          </cell>
        </row>
        <row r="12">
          <cell r="AE12" t="str">
            <v>OPN</v>
          </cell>
          <cell r="AF12" t="str">
            <v>Brendan Beavis</v>
          </cell>
          <cell r="AG12">
            <v>0.0007770833333333333</v>
          </cell>
        </row>
      </sheetData>
      <sheetData sheetId="4">
        <row r="2">
          <cell r="AE2" t="str">
            <v>SNA</v>
          </cell>
          <cell r="AF2" t="str">
            <v>Robert Downes</v>
          </cell>
          <cell r="AG2">
            <v>0.0011239236111111111</v>
          </cell>
        </row>
        <row r="3">
          <cell r="AE3" t="str">
            <v>SNB</v>
          </cell>
          <cell r="AF3" t="str">
            <v>James Sanderson</v>
          </cell>
          <cell r="AG3">
            <v>0.001100925925925926</v>
          </cell>
        </row>
        <row r="4">
          <cell r="AE4" t="str">
            <v>SNC</v>
          </cell>
          <cell r="AF4" t="str">
            <v>Robert Hart</v>
          </cell>
          <cell r="AG4">
            <v>0.0010593518518518517</v>
          </cell>
        </row>
        <row r="5">
          <cell r="AE5" t="str">
            <v>SND</v>
          </cell>
          <cell r="AF5" t="str">
            <v>Tim Edwards</v>
          </cell>
          <cell r="AG5">
            <v>0.0010967592592592593</v>
          </cell>
        </row>
        <row r="6">
          <cell r="AE6" t="str">
            <v>NAC</v>
          </cell>
          <cell r="AF6" t="str">
            <v>Robert Downes</v>
          </cell>
          <cell r="AG6">
            <v>0.0011213541666666665</v>
          </cell>
        </row>
        <row r="7">
          <cell r="AE7" t="str">
            <v>NBC</v>
          </cell>
          <cell r="AF7" t="str">
            <v>Peter Phillips</v>
          </cell>
          <cell r="AG7">
            <v>0.0010919907407407408</v>
          </cell>
        </row>
        <row r="8">
          <cell r="AE8" t="str">
            <v>ABMOD</v>
          </cell>
        </row>
        <row r="9">
          <cell r="AE9" t="str">
            <v>CDMOD</v>
          </cell>
        </row>
        <row r="10">
          <cell r="AE10" t="str">
            <v>SMOD</v>
          </cell>
          <cell r="AF10" t="str">
            <v>Russell Garner</v>
          </cell>
          <cell r="AG10">
            <v>0.001024664351851852</v>
          </cell>
        </row>
        <row r="11">
          <cell r="AE11" t="str">
            <v>RES</v>
          </cell>
          <cell r="AF11" t="str">
            <v>Paul Ledwith</v>
          </cell>
          <cell r="AG11">
            <v>0.0009836458333333333</v>
          </cell>
        </row>
        <row r="12">
          <cell r="AE12" t="str">
            <v>OPN</v>
          </cell>
          <cell r="AF12" t="str">
            <v>Steven Cook</v>
          </cell>
          <cell r="AG12">
            <v>0.0009611921296296297</v>
          </cell>
        </row>
      </sheetData>
      <sheetData sheetId="5">
        <row r="2">
          <cell r="AE2" t="str">
            <v>SNA</v>
          </cell>
          <cell r="AF2" t="str">
            <v>Robert Downes</v>
          </cell>
          <cell r="AG2">
            <v>0.0011239236111111111</v>
          </cell>
        </row>
        <row r="3">
          <cell r="AE3" t="str">
            <v>SNB</v>
          </cell>
          <cell r="AF3" t="str">
            <v>James Sanderson</v>
          </cell>
          <cell r="AG3">
            <v>0.001100925925925926</v>
          </cell>
        </row>
        <row r="4">
          <cell r="AE4" t="str">
            <v>SNC</v>
          </cell>
          <cell r="AF4" t="str">
            <v>Robert Hart</v>
          </cell>
          <cell r="AG4">
            <v>0.0010593518518518517</v>
          </cell>
        </row>
        <row r="5">
          <cell r="AE5" t="str">
            <v>SND</v>
          </cell>
          <cell r="AF5" t="str">
            <v>Randy Stagno N</v>
          </cell>
          <cell r="AG5" t="str">
            <v>1:31.7520</v>
          </cell>
        </row>
        <row r="6">
          <cell r="AE6" t="str">
            <v>NAC</v>
          </cell>
          <cell r="AF6" t="str">
            <v>Robert Downes</v>
          </cell>
          <cell r="AG6">
            <v>0.0011213541666666665</v>
          </cell>
        </row>
        <row r="7">
          <cell r="AE7" t="str">
            <v>NBC</v>
          </cell>
          <cell r="AF7" t="str">
            <v>Peter Phillips</v>
          </cell>
          <cell r="AG7">
            <v>0.0010919907407407408</v>
          </cell>
        </row>
        <row r="8">
          <cell r="AE8" t="str">
            <v>ABMOD</v>
          </cell>
          <cell r="AF8" t="str">
            <v>Dean Hasnat</v>
          </cell>
          <cell r="AG8" t="str">
            <v>1:31.5196</v>
          </cell>
        </row>
        <row r="9">
          <cell r="AE9" t="str">
            <v>CDMOD</v>
          </cell>
          <cell r="AF9" t="str">
            <v>Alan Conrad</v>
          </cell>
          <cell r="AG9" t="str">
            <v>1:30.9898</v>
          </cell>
        </row>
        <row r="10">
          <cell r="AE10" t="str">
            <v>SMOD</v>
          </cell>
          <cell r="AF10" t="str">
            <v>Russell Garner</v>
          </cell>
          <cell r="AG10">
            <v>0.001024664351851852</v>
          </cell>
        </row>
        <row r="11">
          <cell r="AE11" t="str">
            <v>RES</v>
          </cell>
          <cell r="AF11" t="str">
            <v>Paul Ledwith</v>
          </cell>
          <cell r="AG11">
            <v>0.0009836458333333333</v>
          </cell>
        </row>
        <row r="12">
          <cell r="AE12" t="str">
            <v>OPN</v>
          </cell>
          <cell r="AF12" t="str">
            <v>Steven Cook</v>
          </cell>
          <cell r="AG12">
            <v>0.0009611921296296297</v>
          </cell>
        </row>
      </sheetData>
      <sheetData sheetId="6">
        <row r="7">
          <cell r="A7" t="str">
            <v>Class</v>
          </cell>
          <cell r="B7" t="str">
            <v>Description</v>
          </cell>
          <cell r="C7" t="str">
            <v>Code</v>
          </cell>
          <cell r="D7" t="str">
            <v>Rank</v>
          </cell>
        </row>
        <row r="8">
          <cell r="A8" t="str">
            <v>SNA</v>
          </cell>
          <cell r="B8" t="str">
            <v>Standard NA </v>
          </cell>
          <cell r="C8">
            <v>1</v>
          </cell>
          <cell r="D8">
            <v>1</v>
          </cell>
        </row>
        <row r="9">
          <cell r="A9" t="str">
            <v>SNB</v>
          </cell>
          <cell r="B9" t="str">
            <v>Standard NB </v>
          </cell>
          <cell r="C9">
            <v>2</v>
          </cell>
          <cell r="D9">
            <v>1</v>
          </cell>
        </row>
        <row r="10">
          <cell r="A10" t="str">
            <v>NAC</v>
          </cell>
          <cell r="B10" t="str">
            <v>NA Clubman </v>
          </cell>
          <cell r="C10">
            <v>3</v>
          </cell>
          <cell r="D10">
            <v>2</v>
          </cell>
        </row>
        <row r="11">
          <cell r="A11" t="str">
            <v>NBC</v>
          </cell>
          <cell r="B11" t="str">
            <v>NB Clubman</v>
          </cell>
          <cell r="C11">
            <v>4</v>
          </cell>
          <cell r="D11">
            <v>2</v>
          </cell>
        </row>
        <row r="12">
          <cell r="A12" t="str">
            <v>SNC</v>
          </cell>
          <cell r="B12" t="str">
            <v>Standard NC</v>
          </cell>
          <cell r="C12">
            <v>5</v>
          </cell>
          <cell r="D12">
            <v>3</v>
          </cell>
        </row>
        <row r="13">
          <cell r="A13" t="str">
            <v>SND</v>
          </cell>
          <cell r="B13" t="str">
            <v>Standard ND</v>
          </cell>
          <cell r="C13">
            <v>6</v>
          </cell>
          <cell r="D13">
            <v>3</v>
          </cell>
        </row>
        <row r="14">
          <cell r="A14" t="str">
            <v>ABMOD</v>
          </cell>
          <cell r="B14" t="str">
            <v>NA/NB Modified</v>
          </cell>
          <cell r="C14">
            <v>7</v>
          </cell>
          <cell r="D14">
            <v>4</v>
          </cell>
        </row>
        <row r="15">
          <cell r="A15" t="str">
            <v>CDMOD</v>
          </cell>
          <cell r="B15" t="str">
            <v>NC/ND Modified</v>
          </cell>
          <cell r="C15">
            <v>8</v>
          </cell>
          <cell r="D15">
            <v>4</v>
          </cell>
        </row>
        <row r="16">
          <cell r="A16" t="str">
            <v>SMOD</v>
          </cell>
          <cell r="B16" t="str">
            <v>Super Modified</v>
          </cell>
          <cell r="C16">
            <v>9</v>
          </cell>
          <cell r="D16">
            <v>5</v>
          </cell>
        </row>
        <row r="17">
          <cell r="A17" t="str">
            <v>RES</v>
          </cell>
          <cell r="B17" t="str">
            <v>Restricted Open</v>
          </cell>
          <cell r="C17">
            <v>10</v>
          </cell>
          <cell r="D17">
            <v>6</v>
          </cell>
        </row>
        <row r="18">
          <cell r="A18" t="str">
            <v>OPN</v>
          </cell>
          <cell r="B18" t="str">
            <v>Open</v>
          </cell>
          <cell r="C18">
            <v>11</v>
          </cell>
          <cell r="D18">
            <v>7</v>
          </cell>
        </row>
        <row r="21">
          <cell r="A21" t="str">
            <v>Place</v>
          </cell>
          <cell r="B21" t="str">
            <v>Score</v>
          </cell>
        </row>
        <row r="22">
          <cell r="A22">
            <v>1</v>
          </cell>
          <cell r="B22">
            <v>100</v>
          </cell>
        </row>
        <row r="23">
          <cell r="A23">
            <v>2</v>
          </cell>
          <cell r="B23">
            <v>75</v>
          </cell>
        </row>
        <row r="24">
          <cell r="A24">
            <v>3</v>
          </cell>
          <cell r="B24">
            <v>60</v>
          </cell>
        </row>
        <row r="25">
          <cell r="A25">
            <v>4</v>
          </cell>
          <cell r="B25">
            <v>45</v>
          </cell>
        </row>
        <row r="26">
          <cell r="A26">
            <v>5</v>
          </cell>
          <cell r="B26">
            <v>30</v>
          </cell>
        </row>
        <row r="27">
          <cell r="A27">
            <v>6</v>
          </cell>
          <cell r="B27">
            <v>15</v>
          </cell>
        </row>
        <row r="28">
          <cell r="A28">
            <v>7</v>
          </cell>
          <cell r="B28">
            <v>15</v>
          </cell>
        </row>
        <row r="29">
          <cell r="A29">
            <v>8</v>
          </cell>
          <cell r="B29">
            <v>15</v>
          </cell>
        </row>
        <row r="30">
          <cell r="A30">
            <v>9</v>
          </cell>
          <cell r="B30">
            <v>15</v>
          </cell>
        </row>
        <row r="31">
          <cell r="A31">
            <v>10</v>
          </cell>
          <cell r="B31">
            <v>15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1">
        <row r="2">
          <cell r="AE2" t="str">
            <v>SNA</v>
          </cell>
          <cell r="AF2" t="str">
            <v>Robert Downes</v>
          </cell>
          <cell r="AG2">
            <v>0.0011239236111111111</v>
          </cell>
        </row>
        <row r="3">
          <cell r="AE3" t="str">
            <v>SNB</v>
          </cell>
          <cell r="AF3" t="str">
            <v>Peter Dannock</v>
          </cell>
          <cell r="AG3">
            <v>0.000844699074074074</v>
          </cell>
        </row>
        <row r="4">
          <cell r="AE4" t="str">
            <v>SNC</v>
          </cell>
          <cell r="AF4" t="str">
            <v>Robert Hart</v>
          </cell>
          <cell r="AG4">
            <v>0.0008065972222222221</v>
          </cell>
        </row>
        <row r="5">
          <cell r="AE5" t="str">
            <v>SND</v>
          </cell>
        </row>
        <row r="6">
          <cell r="AE6" t="str">
            <v>NAC</v>
          </cell>
          <cell r="AF6" t="str">
            <v>Tim Emery</v>
          </cell>
          <cell r="AG6">
            <v>0.0008333101851851852</v>
          </cell>
        </row>
        <row r="7">
          <cell r="AE7" t="str">
            <v>NBC</v>
          </cell>
          <cell r="AF7" t="str">
            <v>Noel Heritage</v>
          </cell>
          <cell r="AG7">
            <v>0.0008369212962962964</v>
          </cell>
        </row>
        <row r="8">
          <cell r="AE8" t="str">
            <v>ABMOD</v>
          </cell>
        </row>
        <row r="9">
          <cell r="AE9" t="str">
            <v>CDMOD</v>
          </cell>
        </row>
        <row r="10">
          <cell r="AE10" t="str">
            <v>SMOD</v>
          </cell>
          <cell r="AF10" t="str">
            <v>Russell Garner</v>
          </cell>
          <cell r="AG10">
            <v>0.0007832523148148149</v>
          </cell>
        </row>
        <row r="11">
          <cell r="AE11" t="str">
            <v>RES</v>
          </cell>
          <cell r="AF11" t="str">
            <v>Brendan Beavis</v>
          </cell>
          <cell r="AG11">
            <v>0.0007752662037037037</v>
          </cell>
        </row>
        <row r="12">
          <cell r="AE12" t="str">
            <v>OPN</v>
          </cell>
          <cell r="AF12" t="str">
            <v>Brendan Beavis</v>
          </cell>
          <cell r="AG12">
            <v>0.0007770833333333333</v>
          </cell>
        </row>
      </sheetData>
      <sheetData sheetId="6">
        <row r="2">
          <cell r="AE2" t="str">
            <v>SNA</v>
          </cell>
          <cell r="AF2" t="str">
            <v>Robert Downes</v>
          </cell>
          <cell r="AG2">
            <v>0.001427349537037037</v>
          </cell>
        </row>
        <row r="3">
          <cell r="AE3" t="str">
            <v>SNB</v>
          </cell>
          <cell r="AF3" t="str">
            <v>Stephen Downes</v>
          </cell>
          <cell r="AG3">
            <v>0.0014279050925925926</v>
          </cell>
        </row>
        <row r="4">
          <cell r="AE4" t="str">
            <v>SNC</v>
          </cell>
          <cell r="AF4" t="str">
            <v>Alan Conrad</v>
          </cell>
          <cell r="AG4">
            <v>0.0013765625000000002</v>
          </cell>
        </row>
        <row r="5">
          <cell r="AE5" t="str">
            <v>SND</v>
          </cell>
          <cell r="AF5" t="str">
            <v>Randy Stagno Navarra</v>
          </cell>
          <cell r="AG5">
            <v>0.0014013310185185186</v>
          </cell>
        </row>
        <row r="6">
          <cell r="AE6" t="str">
            <v>NAC</v>
          </cell>
          <cell r="AF6" t="str">
            <v>Robert Downes</v>
          </cell>
          <cell r="AG6">
            <v>0.0014134722222222222</v>
          </cell>
        </row>
        <row r="7">
          <cell r="AE7" t="str">
            <v>NBC</v>
          </cell>
          <cell r="AF7" t="str">
            <v>Noel Heritage</v>
          </cell>
          <cell r="AG7">
            <v>0.0013983680555555557</v>
          </cell>
        </row>
        <row r="8">
          <cell r="AE8" t="str">
            <v>ABMOD</v>
          </cell>
        </row>
        <row r="9">
          <cell r="AE9" t="str">
            <v>CDMOD</v>
          </cell>
        </row>
        <row r="10">
          <cell r="AE10" t="str">
            <v>SMOD</v>
          </cell>
          <cell r="AF10" t="str">
            <v>Russell Garner</v>
          </cell>
          <cell r="AG10">
            <v>0.0012893287037037038</v>
          </cell>
        </row>
        <row r="11">
          <cell r="AE11" t="str">
            <v>RES</v>
          </cell>
          <cell r="AF11" t="str">
            <v>Paul Ledwith</v>
          </cell>
          <cell r="AG11">
            <v>0.0012727662037037037</v>
          </cell>
        </row>
        <row r="12">
          <cell r="AE12" t="str">
            <v>OPN</v>
          </cell>
          <cell r="AF12" t="str">
            <v>David Wilken</v>
          </cell>
          <cell r="AG12">
            <v>0.0012022337962962963</v>
          </cell>
        </row>
      </sheetData>
      <sheetData sheetId="9">
        <row r="2">
          <cell r="AE2" t="str">
            <v>SNA</v>
          </cell>
          <cell r="AF2" t="str">
            <v>Robert Downes</v>
          </cell>
          <cell r="AG2" t="str">
            <v>1:10.4297</v>
          </cell>
        </row>
        <row r="3">
          <cell r="AE3" t="str">
            <v>SNB</v>
          </cell>
          <cell r="AF3" t="str">
            <v>Simeon Ouzas</v>
          </cell>
          <cell r="AG3" t="str">
            <v>1:10.7023</v>
          </cell>
        </row>
        <row r="4">
          <cell r="AE4" t="str">
            <v>SNC</v>
          </cell>
          <cell r="AF4" t="str">
            <v>Alan Conrad</v>
          </cell>
          <cell r="AG4">
            <v>0.0007975925925925927</v>
          </cell>
        </row>
        <row r="5">
          <cell r="AE5" t="str">
            <v>SND</v>
          </cell>
        </row>
        <row r="6">
          <cell r="AE6" t="str">
            <v>NAC</v>
          </cell>
          <cell r="AF6" t="str">
            <v>Tim Emery</v>
          </cell>
          <cell r="AG6" t="str">
            <v>1:08.2979</v>
          </cell>
        </row>
        <row r="7">
          <cell r="AE7" t="str">
            <v>NBC</v>
          </cell>
          <cell r="AF7" t="str">
            <v>Noel Heritage</v>
          </cell>
          <cell r="AG7" t="str">
            <v>1:08.5686</v>
          </cell>
        </row>
        <row r="8">
          <cell r="AE8" t="str">
            <v>ABMOD</v>
          </cell>
        </row>
        <row r="9">
          <cell r="AE9" t="str">
            <v>CDMOD</v>
          </cell>
        </row>
        <row r="10">
          <cell r="AE10" t="str">
            <v>SMOD</v>
          </cell>
          <cell r="AF10" t="str">
            <v>Russell Garner</v>
          </cell>
          <cell r="AG10" t="str">
            <v>1:04.4118</v>
          </cell>
        </row>
        <row r="11">
          <cell r="AE11" t="str">
            <v>RES</v>
          </cell>
          <cell r="AF11" t="str">
            <v>Fabian Mastronardi</v>
          </cell>
          <cell r="AG11" t="str">
            <v>1:07.5963</v>
          </cell>
        </row>
        <row r="12">
          <cell r="AE12" t="str">
            <v>OPN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138"/>
  <sheetViews>
    <sheetView tabSelected="1" zoomScalePageLayoutView="0" workbookViewId="0" topLeftCell="A1">
      <pane xSplit="3" ySplit="2" topLeftCell="D3" activePane="bottomRight" state="frozen"/>
      <selection pane="topLeft" activeCell="A2" sqref="A2"/>
      <selection pane="topRight" activeCell="A2" sqref="A2"/>
      <selection pane="bottomLeft" activeCell="A2" sqref="A2"/>
      <selection pane="bottomRight" activeCell="A1" sqref="A1:O1"/>
    </sheetView>
  </sheetViews>
  <sheetFormatPr defaultColWidth="9.140625" defaultRowHeight="12.75"/>
  <cols>
    <col min="1" max="1" width="7.140625" style="2" bestFit="1" customWidth="1"/>
    <col min="2" max="2" width="7.7109375" style="1" bestFit="1" customWidth="1"/>
    <col min="3" max="3" width="18.57421875" style="1" bestFit="1" customWidth="1"/>
    <col min="4" max="4" width="8.57421875" style="8" customWidth="1"/>
    <col min="5" max="5" width="10.421875" style="25" customWidth="1"/>
    <col min="6" max="15" width="6.421875" style="8" customWidth="1"/>
    <col min="16" max="16" width="18.421875" style="1" hidden="1" customWidth="1"/>
    <col min="17" max="17" width="7.140625" style="1" customWidth="1"/>
    <col min="18" max="16384" width="9.140625" style="1" customWidth="1"/>
  </cols>
  <sheetData>
    <row r="1" spans="1:15" ht="15">
      <c r="A1" s="659" t="s">
        <v>118</v>
      </c>
      <c r="B1" s="659"/>
      <c r="C1" s="659"/>
      <c r="D1" s="659"/>
      <c r="E1" s="659"/>
      <c r="F1" s="659"/>
      <c r="G1" s="659"/>
      <c r="H1" s="659"/>
      <c r="I1" s="659"/>
      <c r="J1" s="659"/>
      <c r="K1" s="659"/>
      <c r="L1" s="659"/>
      <c r="M1" s="659"/>
      <c r="N1" s="659"/>
      <c r="O1" s="659"/>
    </row>
    <row r="2" spans="1:17" s="27" customFormat="1" ht="119.25" customHeight="1" thickBot="1">
      <c r="A2" s="2" t="s">
        <v>0</v>
      </c>
      <c r="B2" s="62" t="s">
        <v>1</v>
      </c>
      <c r="C2" s="62"/>
      <c r="D2" s="2" t="s">
        <v>2</v>
      </c>
      <c r="E2" s="63" t="s">
        <v>53</v>
      </c>
      <c r="F2" s="64" t="s">
        <v>143</v>
      </c>
      <c r="G2" s="64" t="s">
        <v>149</v>
      </c>
      <c r="H2" s="64" t="s">
        <v>150</v>
      </c>
      <c r="I2" s="64" t="s">
        <v>151</v>
      </c>
      <c r="J2" s="64" t="s">
        <v>152</v>
      </c>
      <c r="K2" s="64" t="s">
        <v>153</v>
      </c>
      <c r="L2" s="64" t="s">
        <v>154</v>
      </c>
      <c r="M2" s="64" t="s">
        <v>155</v>
      </c>
      <c r="N2" s="64" t="s">
        <v>157</v>
      </c>
      <c r="O2" s="64" t="s">
        <v>156</v>
      </c>
      <c r="P2" s="26"/>
      <c r="Q2" s="26"/>
    </row>
    <row r="3" spans="1:16" s="5" customFormat="1" ht="12">
      <c r="A3" s="517">
        <v>1</v>
      </c>
      <c r="B3" s="629" t="s">
        <v>144</v>
      </c>
      <c r="C3" s="629" t="s">
        <v>145</v>
      </c>
      <c r="D3" s="521" t="s">
        <v>16</v>
      </c>
      <c r="E3" s="588">
        <f>SUM(F3:O3)</f>
        <v>730</v>
      </c>
      <c r="F3" s="630">
        <f>_xlfn.IFERROR(VLOOKUP($P3,'Rd1 PI'!$C$2:$AC$21,27,0),0)</f>
        <v>100</v>
      </c>
      <c r="G3" s="521">
        <f>_xlfn.IFERROR(VLOOKUP($P3,'Rd2 Winton'!$C$2:$AC$24,27,0),0)</f>
        <v>110</v>
      </c>
      <c r="H3" s="521">
        <f>_xlfn.IFERROR(VLOOKUP($P3,'Rd3 Winton IC'!$C$2:$AC$56,27,0),0)</f>
        <v>90</v>
      </c>
      <c r="I3" s="521">
        <f>_xlfn.IFERROR(VLOOKUP($P3,'Rd4 Sandown'!$C$2:$AC$30,27,0),0)</f>
        <v>110</v>
      </c>
      <c r="J3" s="521">
        <f>_xlfn.IFERROR(VLOOKUP($P3,'Rd5 Winton'!$C$2:$AC$29,27,0),0)</f>
        <v>110</v>
      </c>
      <c r="K3" s="521">
        <f>_xlfn.IFERROR(VLOOKUP($P3,'Rd6 PI'!$C$2:$AC$29,27,0),0)</f>
        <v>110</v>
      </c>
      <c r="L3" s="521">
        <f>_xlfn.IFERROR(VLOOKUP($P3,'Rd7 Winton'!$C$2:$AC$29,27,0),0)</f>
        <v>100</v>
      </c>
      <c r="M3" s="521">
        <f>_xlfn.IFERROR(VLOOKUP($P3,#REF!,27,0),0)</f>
        <v>0</v>
      </c>
      <c r="N3" s="521">
        <f>_xlfn.IFERROR(VLOOKUP($P3,#REF!,27,0),0)</f>
        <v>0</v>
      </c>
      <c r="O3" s="631">
        <f>_xlfn.IFERROR(VLOOKUP($P3,#REF!,27,0),0)</f>
        <v>0</v>
      </c>
      <c r="P3" s="5" t="str">
        <f>CONCATENATE(LOWER(B3)," ",LOWER(C3))</f>
        <v>russell garner</v>
      </c>
    </row>
    <row r="4" spans="1:16" s="5" customFormat="1" ht="12">
      <c r="A4" s="518">
        <v>2</v>
      </c>
      <c r="B4" s="333" t="s">
        <v>70</v>
      </c>
      <c r="C4" s="333" t="s">
        <v>71</v>
      </c>
      <c r="D4" s="515" t="s">
        <v>51</v>
      </c>
      <c r="E4" s="589">
        <f>SUM(F4:O4)</f>
        <v>625</v>
      </c>
      <c r="F4" s="335">
        <f>_xlfn.IFERROR(VLOOKUP($P4,'Rd1 PI'!$C$2:$AC$21,27,0),0)</f>
        <v>100</v>
      </c>
      <c r="G4" s="512">
        <f>_xlfn.IFERROR(VLOOKUP($P4,'Rd2 Winton'!$C$2:$AC$24,27,0),0)</f>
        <v>110</v>
      </c>
      <c r="H4" s="334">
        <f>_xlfn.IFERROR(VLOOKUP($P4,'Rd3 Winton IC'!$C$2:$AC$56,27,0),0)</f>
        <v>90</v>
      </c>
      <c r="I4" s="334">
        <f>_xlfn.IFERROR(VLOOKUP($P4,'Rd4 Sandown'!$C$2:$AC$30,27,0),0)</f>
        <v>110</v>
      </c>
      <c r="J4" s="334">
        <f>_xlfn.IFERROR(VLOOKUP($P4,'Rd5 Winton'!$C$2:$AC$29,27,0),0)</f>
        <v>110</v>
      </c>
      <c r="K4" s="334">
        <f>_xlfn.IFERROR(VLOOKUP($P4,'Rd6 PI'!$C$2:$AC$29,27,0),0)</f>
        <v>0</v>
      </c>
      <c r="L4" s="334">
        <f>_xlfn.IFERROR(VLOOKUP($P4,'Rd7 Winton'!$C$2:$AC$29,27,0),0)</f>
        <v>105</v>
      </c>
      <c r="M4" s="334">
        <f>_xlfn.IFERROR(VLOOKUP($P4,#REF!,27,0),0)</f>
        <v>0</v>
      </c>
      <c r="N4" s="334">
        <f>_xlfn.IFERROR(VLOOKUP($P4,#REF!,27,0),0)</f>
        <v>0</v>
      </c>
      <c r="O4" s="516">
        <f>_xlfn.IFERROR(VLOOKUP($P4,#REF!,27,0),0)</f>
        <v>0</v>
      </c>
      <c r="P4" s="5" t="str">
        <f>CONCATENATE(LOWER(B4)," ",LOWER(C4))</f>
        <v>gavin newman</v>
      </c>
    </row>
    <row r="5" spans="1:16" s="5" customFormat="1" ht="12">
      <c r="A5" s="518">
        <v>3</v>
      </c>
      <c r="B5" s="102" t="s">
        <v>31</v>
      </c>
      <c r="C5" s="102" t="s">
        <v>32</v>
      </c>
      <c r="D5" s="644" t="s">
        <v>21</v>
      </c>
      <c r="E5" s="589">
        <f>SUM(F5:O5)</f>
        <v>595</v>
      </c>
      <c r="F5" s="634">
        <f>_xlfn.IFERROR(VLOOKUP($P5,'Rd1 PI'!$C$2:$AC$21,27,0),0)</f>
        <v>100</v>
      </c>
      <c r="G5" s="644">
        <f>_xlfn.IFERROR(VLOOKUP($P5,'Rd2 Winton'!$C$2:$AC$24,27,0),0)</f>
        <v>105</v>
      </c>
      <c r="H5" s="644">
        <f>_xlfn.IFERROR(VLOOKUP($P5,'Rd3 Winton IC'!$C$2:$AC$56,27,0),0)</f>
        <v>65</v>
      </c>
      <c r="I5" s="644">
        <f>_xlfn.IFERROR(VLOOKUP($P5,'Rd4 Sandown'!$C$2:$AC$30,27,0),0)</f>
        <v>60</v>
      </c>
      <c r="J5" s="644">
        <f>_xlfn.IFERROR(VLOOKUP($P5,'Rd5 Winton'!$C$2:$AC$29,27,0),0)</f>
        <v>80</v>
      </c>
      <c r="K5" s="644">
        <f>_xlfn.IFERROR(VLOOKUP($P5,'Rd6 PI'!$C$2:$AC$29,27,0),0)</f>
        <v>80</v>
      </c>
      <c r="L5" s="644">
        <f>_xlfn.IFERROR(VLOOKUP($P5,'Rd7 Winton'!$C$2:$AC$29,27,0),0)</f>
        <v>105</v>
      </c>
      <c r="M5" s="644">
        <f>_xlfn.IFERROR(VLOOKUP($P5,#REF!,27,0),0)</f>
        <v>0</v>
      </c>
      <c r="N5" s="644">
        <f>_xlfn.IFERROR(VLOOKUP($P5,#REF!,27,0),0)</f>
        <v>0</v>
      </c>
      <c r="O5" s="328">
        <f>_xlfn.IFERROR(VLOOKUP($P5,#REF!,27,0),0)</f>
        <v>0</v>
      </c>
      <c r="P5" s="5" t="str">
        <f>CONCATENATE(LOWER(B5)," ",LOWER(C5))</f>
        <v>noel heritage</v>
      </c>
    </row>
    <row r="6" spans="1:16" s="5" customFormat="1" ht="12">
      <c r="A6" s="518">
        <v>4</v>
      </c>
      <c r="B6" s="56" t="s">
        <v>57</v>
      </c>
      <c r="C6" s="56" t="s">
        <v>58</v>
      </c>
      <c r="D6" s="48" t="s">
        <v>5</v>
      </c>
      <c r="E6" s="589">
        <f>SUM(F6:O6)</f>
        <v>580</v>
      </c>
      <c r="F6" s="633">
        <f>_xlfn.IFERROR(VLOOKUP($P6,'Rd1 PI'!$C$2:$AC$21,27,0),0)</f>
        <v>95</v>
      </c>
      <c r="G6" s="647">
        <f>_xlfn.IFERROR(VLOOKUP($P6,'Rd2 Winton'!$C$2:$AC$24,27,0),0)</f>
        <v>100</v>
      </c>
      <c r="H6" s="647">
        <f>_xlfn.IFERROR(VLOOKUP($P6,'Rd3 Winton IC'!$C$2:$AC$56,27,0),0)</f>
        <v>90</v>
      </c>
      <c r="I6" s="647">
        <f>_xlfn.IFERROR(VLOOKUP($P6,'Rd4 Sandown'!$C$2:$AC$30,27,0),0)</f>
        <v>80</v>
      </c>
      <c r="J6" s="647">
        <f>_xlfn.IFERROR(VLOOKUP($P6,'Rd5 Winton'!$C$2:$AC$29,27,0),0)</f>
        <v>110</v>
      </c>
      <c r="K6" s="647">
        <f>_xlfn.IFERROR(VLOOKUP($P6,'Rd6 PI'!$C$2:$AC$29,27,0),0)</f>
        <v>105</v>
      </c>
      <c r="L6" s="647">
        <f>_xlfn.IFERROR(VLOOKUP($P6,'Rd7 Winton'!$C$2:$AC$29,27,0),0)</f>
        <v>0</v>
      </c>
      <c r="M6" s="647">
        <f>_xlfn.IFERROR(VLOOKUP($P6,#REF!,27,0),0)</f>
        <v>0</v>
      </c>
      <c r="N6" s="647">
        <f>_xlfn.IFERROR(VLOOKUP($P6,#REF!,27,0),0)</f>
        <v>0</v>
      </c>
      <c r="O6" s="325">
        <f>_xlfn.IFERROR(VLOOKUP($P6,#REF!,27,0),0)</f>
        <v>0</v>
      </c>
      <c r="P6" s="5" t="str">
        <f>CONCATENATE(LOWER(B6)," ",LOWER(C6))</f>
        <v>steve williamsz</v>
      </c>
    </row>
    <row r="7" spans="1:16" s="5" customFormat="1" ht="12">
      <c r="A7" s="518">
        <v>5</v>
      </c>
      <c r="B7" s="514" t="s">
        <v>195</v>
      </c>
      <c r="C7" s="74" t="s">
        <v>198</v>
      </c>
      <c r="D7" s="415" t="s">
        <v>3</v>
      </c>
      <c r="E7" s="589">
        <f>SUM(F7:O7)</f>
        <v>565</v>
      </c>
      <c r="F7" s="635">
        <f>_xlfn.IFERROR(VLOOKUP($P7,'Rd1 PI'!$C$2:$AC$21,27,0),0)</f>
        <v>0</v>
      </c>
      <c r="G7" s="648">
        <f>_xlfn.IFERROR(VLOOKUP($P7,'Rd2 Winton'!$C$2:$AC$24,27,0),0)</f>
        <v>90</v>
      </c>
      <c r="H7" s="648">
        <f>_xlfn.IFERROR(VLOOKUP($P7,'Rd3 Winton IC'!$C$2:$AC$56,27,0),0)</f>
        <v>90</v>
      </c>
      <c r="I7" s="648">
        <f>_xlfn.IFERROR(VLOOKUP($P7,'Rd4 Sandown'!$C$2:$AC$30,27,0),0)</f>
        <v>90</v>
      </c>
      <c r="J7" s="648">
        <f>_xlfn.IFERROR(VLOOKUP($P7,'Rd5 Winton'!$C$2:$AC$29,27,0),0)</f>
        <v>105</v>
      </c>
      <c r="K7" s="648">
        <f>_xlfn.IFERROR(VLOOKUP($P7,'Rd6 PI'!$C$2:$AC$29,27,0),0)</f>
        <v>90</v>
      </c>
      <c r="L7" s="648">
        <f>_xlfn.IFERROR(VLOOKUP($P7,'Rd7 Winton'!$C$2:$AC$29,27,0),0)</f>
        <v>100</v>
      </c>
      <c r="M7" s="648">
        <f>_xlfn.IFERROR(VLOOKUP($P7,#REF!,27,0),0)</f>
        <v>0</v>
      </c>
      <c r="N7" s="648">
        <f>_xlfn.IFERROR(VLOOKUP($P7,#REF!,27,0),0)</f>
        <v>0</v>
      </c>
      <c r="O7" s="427">
        <f>_xlfn.IFERROR(VLOOKUP($P7,#REF!,27,0),0)</f>
        <v>0</v>
      </c>
      <c r="P7" s="5" t="str">
        <f>CONCATENATE(LOWER(B7)," ",LOWER(C7))</f>
        <v>kutay dal</v>
      </c>
    </row>
    <row r="8" spans="1:16" s="5" customFormat="1" ht="12">
      <c r="A8" s="518">
        <v>6</v>
      </c>
      <c r="B8" s="102" t="s">
        <v>113</v>
      </c>
      <c r="C8" s="102" t="s">
        <v>114</v>
      </c>
      <c r="D8" s="501" t="s">
        <v>21</v>
      </c>
      <c r="E8" s="589">
        <f>SUM(F8:O8)</f>
        <v>530</v>
      </c>
      <c r="F8" s="634">
        <f>_xlfn.IFERROR(VLOOKUP($P8,'Rd1 PI'!$C$2:$AC$21,27,0),0)</f>
        <v>75</v>
      </c>
      <c r="G8" s="644">
        <f>_xlfn.IFERROR(VLOOKUP($P8,'Rd2 Winton'!$C$2:$AC$24,27,0),0)</f>
        <v>75</v>
      </c>
      <c r="H8" s="644">
        <f>_xlfn.IFERROR(VLOOKUP($P8,'Rd3 Winton IC'!$C$2:$AC$56,27,0),0)</f>
        <v>90</v>
      </c>
      <c r="I8" s="644">
        <f>_xlfn.IFERROR(VLOOKUP($P8,'Rd4 Sandown'!$C$2:$AC$30,27,0),0)</f>
        <v>45</v>
      </c>
      <c r="J8" s="644">
        <f>_xlfn.IFERROR(VLOOKUP($P8,'Rd5 Winton'!$C$2:$AC$29,27,0),0)</f>
        <v>65</v>
      </c>
      <c r="K8" s="644">
        <f>_xlfn.IFERROR(VLOOKUP($P8,'Rd6 PI'!$C$2:$AC$29,27,0),0)</f>
        <v>105</v>
      </c>
      <c r="L8" s="644">
        <f>_xlfn.IFERROR(VLOOKUP($P8,'Rd7 Winton'!$C$2:$AC$29,27,0),0)</f>
        <v>75</v>
      </c>
      <c r="M8" s="644">
        <f>_xlfn.IFERROR(VLOOKUP($P8,#REF!,27,0),0)</f>
        <v>0</v>
      </c>
      <c r="N8" s="644">
        <f>_xlfn.IFERROR(VLOOKUP($P8,#REF!,27,0),0)</f>
        <v>0</v>
      </c>
      <c r="O8" s="328">
        <f>_xlfn.IFERROR(VLOOKUP($P8,#REF!,27,0),0)</f>
        <v>0</v>
      </c>
      <c r="P8" s="5" t="str">
        <f>CONCATENATE(LOWER(B8)," ",LOWER(C8))</f>
        <v>max lloyd</v>
      </c>
    </row>
    <row r="9" spans="1:16" s="5" customFormat="1" ht="12">
      <c r="A9" s="518">
        <v>7</v>
      </c>
      <c r="B9" s="114" t="s">
        <v>187</v>
      </c>
      <c r="C9" s="114" t="s">
        <v>188</v>
      </c>
      <c r="D9" s="344" t="s">
        <v>52</v>
      </c>
      <c r="E9" s="589">
        <f>SUM(F9:O9)-SMALL(F9:O9,2)-MIN(F9:O9)</f>
        <v>510</v>
      </c>
      <c r="F9" s="639">
        <f>_xlfn.IFERROR(VLOOKUP($P9,'Rd1 PI'!$C$2:$AC$21,17,0),0)</f>
        <v>0</v>
      </c>
      <c r="G9" s="39">
        <f>_xlfn.IFERROR(VLOOKUP($P9,'Rd2 Winton'!$C$2:$AC$24,27,0),0)</f>
        <v>100</v>
      </c>
      <c r="H9" s="39">
        <f>_xlfn.IFERROR(VLOOKUP($P9,'Rd3 Winton IC'!$C$2:$AC$56,27,0),0)</f>
        <v>90</v>
      </c>
      <c r="I9" s="39">
        <f>_xlfn.IFERROR(VLOOKUP($P9,'Rd4 Sandown'!$C$2:$AC$30,27,0),0)</f>
        <v>110</v>
      </c>
      <c r="J9" s="39">
        <f>_xlfn.IFERROR(VLOOKUP($P9,'Rd5 Winton'!$C$2:$AC$29,27,0),0)</f>
        <v>0</v>
      </c>
      <c r="K9" s="39">
        <f>_xlfn.IFERROR(VLOOKUP($P9,'Rd6 PI'!$C$2:$AC$29,27,0),0)</f>
        <v>105</v>
      </c>
      <c r="L9" s="39">
        <f>_xlfn.IFERROR(VLOOKUP($P9,'Rd7 Winton'!$C$2:$AC$29,27,0),0)</f>
        <v>105</v>
      </c>
      <c r="M9" s="39">
        <f>_xlfn.IFERROR(VLOOKUP($P9,#REF!,17,0),0)</f>
        <v>0</v>
      </c>
      <c r="N9" s="39">
        <f>_xlfn.IFERROR(VLOOKUP($P9,#REF!,17,0),0)</f>
        <v>0</v>
      </c>
      <c r="O9" s="377">
        <f>_xlfn.IFERROR(VLOOKUP($P9,#REF!,17,0),0)</f>
        <v>0</v>
      </c>
      <c r="P9" s="5" t="str">
        <f>CONCATENATE(LOWER(B9)," ",LOWER(C9))</f>
        <v>randy stagno navarra</v>
      </c>
    </row>
    <row r="10" spans="1:16" s="5" customFormat="1" ht="12">
      <c r="A10" s="518">
        <v>8</v>
      </c>
      <c r="B10" s="56" t="s">
        <v>33</v>
      </c>
      <c r="C10" s="56" t="s">
        <v>34</v>
      </c>
      <c r="D10" s="48" t="s">
        <v>5</v>
      </c>
      <c r="E10" s="589">
        <f>SUM(F10:O10)</f>
        <v>485</v>
      </c>
      <c r="F10" s="633">
        <f>_xlfn.IFERROR(VLOOKUP($P10,'Rd1 PI'!$C$2:$AC$21,27,0),0)</f>
        <v>50</v>
      </c>
      <c r="G10" s="647">
        <f>_xlfn.IFERROR(VLOOKUP($P10,'Rd2 Winton'!$C$2:$AC$24,27,0),0)</f>
        <v>65</v>
      </c>
      <c r="H10" s="647">
        <f>_xlfn.IFERROR(VLOOKUP($P10,'Rd3 Winton IC'!$C$2:$AC$56,27,0),0)</f>
        <v>50</v>
      </c>
      <c r="I10" s="647">
        <f>_xlfn.IFERROR(VLOOKUP($P10,'Rd4 Sandown'!$C$2:$AC$30,27,0),0)</f>
        <v>105</v>
      </c>
      <c r="J10" s="647">
        <f>_xlfn.IFERROR(VLOOKUP($P10,'Rd5 Winton'!$C$2:$AC$29,27,0),0)</f>
        <v>75</v>
      </c>
      <c r="K10" s="647">
        <f>_xlfn.IFERROR(VLOOKUP($P10,'Rd6 PI'!$C$2:$AC$29,27,0),0)</f>
        <v>50</v>
      </c>
      <c r="L10" s="647">
        <f>_xlfn.IFERROR(VLOOKUP($P10,'Rd7 Winton'!$C$2:$AC$29,27,0),0)</f>
        <v>90</v>
      </c>
      <c r="M10" s="647">
        <f>_xlfn.IFERROR(VLOOKUP($P10,#REF!,27,0),0)</f>
        <v>0</v>
      </c>
      <c r="N10" s="647">
        <f>_xlfn.IFERROR(VLOOKUP($P10,#REF!,27,0),0)</f>
        <v>0</v>
      </c>
      <c r="O10" s="325">
        <f>_xlfn.IFERROR(VLOOKUP($P10,#REF!,27,0),0)</f>
        <v>0</v>
      </c>
      <c r="P10" s="5" t="str">
        <f>CONCATENATE(LOWER(B10)," ",LOWER(C10))</f>
        <v>simeon ouzas</v>
      </c>
    </row>
    <row r="11" spans="1:16" s="5" customFormat="1" ht="12">
      <c r="A11" s="518">
        <v>9</v>
      </c>
      <c r="B11" s="163" t="s">
        <v>191</v>
      </c>
      <c r="C11" s="163" t="s">
        <v>192</v>
      </c>
      <c r="D11" s="645" t="s">
        <v>50</v>
      </c>
      <c r="E11" s="589">
        <f>SUM(F11:O11)</f>
        <v>365</v>
      </c>
      <c r="F11" s="638">
        <f>_xlfn.IFERROR(VLOOKUP($P11,'Rd1 PI'!$C$2:$AC$21,27,0),0)</f>
        <v>0</v>
      </c>
      <c r="G11" s="645">
        <f>_xlfn.IFERROR(VLOOKUP($P11,'Rd2 Winton'!$C$2:$AC$24,27,0),0)</f>
        <v>35</v>
      </c>
      <c r="H11" s="645">
        <f>_xlfn.IFERROR(VLOOKUP($P11,'Rd3 Winton IC'!$C$2:$AC$56,27,0),0)</f>
        <v>0</v>
      </c>
      <c r="I11" s="645">
        <f>_xlfn.IFERROR(VLOOKUP($P11,'Rd4 Sandown'!$C$2:$AC$30,27,0),0)</f>
        <v>105</v>
      </c>
      <c r="J11" s="645">
        <f>_xlfn.IFERROR(VLOOKUP($P11,'Rd5 Winton'!$C$2:$AC$29,27,0),0)</f>
        <v>70</v>
      </c>
      <c r="K11" s="645">
        <f>_xlfn.IFERROR(VLOOKUP($P11,'Rd6 PI'!$C$2:$AC$29,27,0),0)</f>
        <v>50</v>
      </c>
      <c r="L11" s="645">
        <f>_xlfn.IFERROR(VLOOKUP($P11,'Rd7 Winton'!$C$2:$AC$29,27,0),0)</f>
        <v>105</v>
      </c>
      <c r="M11" s="645">
        <f>_xlfn.IFERROR(VLOOKUP($P11,#REF!,27,0),0)</f>
        <v>0</v>
      </c>
      <c r="N11" s="645">
        <f>_xlfn.IFERROR(VLOOKUP($P11,#REF!,27,0),0)</f>
        <v>0</v>
      </c>
      <c r="O11" s="362">
        <f>_xlfn.IFERROR(VLOOKUP($P11,#REF!,27,0),0)</f>
        <v>0</v>
      </c>
      <c r="P11" s="5" t="str">
        <f>CONCATENATE(LOWER(B11)," ",LOWER(C11))</f>
        <v>david adam</v>
      </c>
    </row>
    <row r="12" spans="1:16" s="5" customFormat="1" ht="12">
      <c r="A12" s="518">
        <v>10</v>
      </c>
      <c r="B12" s="56" t="s">
        <v>81</v>
      </c>
      <c r="C12" s="56" t="s">
        <v>66</v>
      </c>
      <c r="D12" s="48" t="s">
        <v>5</v>
      </c>
      <c r="E12" s="589">
        <f>SUM(F12:O12)</f>
        <v>350</v>
      </c>
      <c r="F12" s="633">
        <f>_xlfn.IFERROR(VLOOKUP($P12,'Rd1 PI'!$C$2:$AC$21,27,0),0)</f>
        <v>65</v>
      </c>
      <c r="G12" s="647">
        <f>_xlfn.IFERROR(VLOOKUP($P12,'Rd2 Winton'!$C$2:$AC$24,27,0),0)</f>
        <v>50</v>
      </c>
      <c r="H12" s="647">
        <f>_xlfn.IFERROR(VLOOKUP($P12,'Rd3 Winton IC'!$C$2:$AC$56,27,0),0)</f>
        <v>65</v>
      </c>
      <c r="I12" s="647">
        <f>_xlfn.IFERROR(VLOOKUP($P12,'Rd4 Sandown'!$C$2:$AC$30,27,0),0)</f>
        <v>50</v>
      </c>
      <c r="J12" s="647">
        <f>_xlfn.IFERROR(VLOOKUP($P12,'Rd5 Winton'!$C$2:$AC$29,27,0),0)</f>
        <v>55</v>
      </c>
      <c r="K12" s="647">
        <f>_xlfn.IFERROR(VLOOKUP($P12,'Rd6 PI'!$C$2:$AC$29,27,0),0)</f>
        <v>65</v>
      </c>
      <c r="L12" s="647">
        <f>_xlfn.IFERROR(VLOOKUP($P12,'Rd7 Winton'!$C$2:$AC$29,27,0),0)</f>
        <v>0</v>
      </c>
      <c r="M12" s="647">
        <f>_xlfn.IFERROR(VLOOKUP($P12,#REF!,27,0),0)</f>
        <v>0</v>
      </c>
      <c r="N12" s="647">
        <f>_xlfn.IFERROR(VLOOKUP($P12,#REF!,27,0),0)</f>
        <v>0</v>
      </c>
      <c r="O12" s="325">
        <f>_xlfn.IFERROR(VLOOKUP($P12,#REF!,27,0),0)</f>
        <v>0</v>
      </c>
      <c r="P12" s="5" t="str">
        <f>CONCATENATE(LOWER(B12)," ",LOWER(C12))</f>
        <v>john downes</v>
      </c>
    </row>
    <row r="13" spans="1:16" s="5" customFormat="1" ht="12">
      <c r="A13" s="518">
        <v>10</v>
      </c>
      <c r="B13" s="114" t="s">
        <v>189</v>
      </c>
      <c r="C13" s="114" t="s">
        <v>190</v>
      </c>
      <c r="D13" s="344" t="s">
        <v>52</v>
      </c>
      <c r="E13" s="589">
        <f>SUM(F13:O13)-SMALL(F13:O13,2)-MIN(F13:O13)</f>
        <v>330</v>
      </c>
      <c r="F13" s="639">
        <f>_xlfn.IFERROR(VLOOKUP($P13,'Rd1 PI'!$C$2:$AC$21,17,0),0)</f>
        <v>0</v>
      </c>
      <c r="G13" s="39">
        <f>_xlfn.IFERROR(VLOOKUP($P13,'Rd2 Winton'!$C$2:$AC$24,27,0),0)</f>
        <v>75</v>
      </c>
      <c r="H13" s="39">
        <f>_xlfn.IFERROR(VLOOKUP($P13,'Rd3 Winton IC'!$C$2:$AC$56,27,0),0)</f>
        <v>65</v>
      </c>
      <c r="I13" s="39">
        <f>_xlfn.IFERROR(VLOOKUP($P13,'Rd4 Sandown'!$C$2:$AC$30,27,0),0)</f>
        <v>80</v>
      </c>
      <c r="J13" s="39">
        <f>_xlfn.IFERROR(VLOOKUP($P13,'Rd5 Winton'!$C$2:$AC$29,27,0),0)</f>
        <v>110</v>
      </c>
      <c r="K13" s="39">
        <f>_xlfn.IFERROR(VLOOKUP($P13,'Rd6 PI'!$C$2:$AC$29,27,0),0)</f>
        <v>0</v>
      </c>
      <c r="L13" s="39">
        <f>_xlfn.IFERROR(VLOOKUP($P13,'Rd7 Winton'!$C$2:$AC$29,27,0),0)</f>
        <v>0</v>
      </c>
      <c r="M13" s="39">
        <f>_xlfn.IFERROR(VLOOKUP($P13,#REF!,17,0),0)</f>
        <v>0</v>
      </c>
      <c r="N13" s="39">
        <f>_xlfn.IFERROR(VLOOKUP($P13,#REF!,17,0),0)</f>
        <v>0</v>
      </c>
      <c r="O13" s="377">
        <f>_xlfn.IFERROR(VLOOKUP($P13,#REF!,17,0),0)</f>
        <v>0</v>
      </c>
      <c r="P13" s="5" t="str">
        <f>CONCATENATE(LOWER(B13)," ",LOWER(C13))</f>
        <v>alan conrad</v>
      </c>
    </row>
    <row r="14" spans="1:16" s="5" customFormat="1" ht="12">
      <c r="A14" s="518">
        <v>12</v>
      </c>
      <c r="B14" s="115" t="s">
        <v>185</v>
      </c>
      <c r="C14" s="115" t="s">
        <v>186</v>
      </c>
      <c r="D14" s="69" t="s">
        <v>13</v>
      </c>
      <c r="E14" s="589">
        <f>SUM(F14:O14)</f>
        <v>325</v>
      </c>
      <c r="F14" s="641">
        <f>_xlfn.IFERROR(VLOOKUP($P14,'Rd1 PI'!$C$2:$AC$21,27,0),0)</f>
        <v>0</v>
      </c>
      <c r="G14" s="643">
        <f>_xlfn.IFERROR(VLOOKUP($P14,'Rd2 Winton'!$C$2:$AC$24,27,0),0)</f>
        <v>75</v>
      </c>
      <c r="H14" s="643">
        <f>_xlfn.IFERROR(VLOOKUP($P14,'Rd3 Winton IC'!$C$2:$AC$56,27,0),0)</f>
        <v>35</v>
      </c>
      <c r="I14" s="643">
        <f>_xlfn.IFERROR(VLOOKUP($P14,'Rd4 Sandown'!$C$2:$AC$30,27,0),0)</f>
        <v>0</v>
      </c>
      <c r="J14" s="643">
        <f>_xlfn.IFERROR(VLOOKUP($P14,'Rd5 Winton'!$C$2:$AC$29,27,0),0)</f>
        <v>0</v>
      </c>
      <c r="K14" s="643">
        <f>_xlfn.IFERROR(VLOOKUP($P14,'Rd6 PI'!$C$2:$AC$29,27,0),0)</f>
        <v>105</v>
      </c>
      <c r="L14" s="643">
        <f>_xlfn.IFERROR(VLOOKUP($P14,'Rd7 Winton'!$C$2:$AC$29,27,0),0)</f>
        <v>110</v>
      </c>
      <c r="M14" s="643">
        <f>_xlfn.IFERROR(VLOOKUP($P14,#REF!,27,0),0)</f>
        <v>0</v>
      </c>
      <c r="N14" s="643">
        <f>_xlfn.IFERROR(VLOOKUP($P14,#REF!,27,0),0)</f>
        <v>0</v>
      </c>
      <c r="O14" s="326">
        <f>_xlfn.IFERROR(VLOOKUP($P14,#REF!,27,0),0)</f>
        <v>0</v>
      </c>
      <c r="P14" s="5" t="str">
        <f>CONCATENATE(LOWER(B14)," ",LOWER(C14))</f>
        <v>paul ledwith</v>
      </c>
    </row>
    <row r="15" spans="1:16" s="5" customFormat="1" ht="12">
      <c r="A15" s="518">
        <v>13</v>
      </c>
      <c r="B15" s="291" t="s">
        <v>65</v>
      </c>
      <c r="C15" s="291" t="s">
        <v>66</v>
      </c>
      <c r="D15" s="646" t="s">
        <v>4</v>
      </c>
      <c r="E15" s="589">
        <f>SUM(F15:O15)</f>
        <v>290</v>
      </c>
      <c r="F15" s="636">
        <f>_xlfn.IFERROR(VLOOKUP($P15,'Rd1 PI'!$C$2:$AC$21,27,0),0)</f>
        <v>50</v>
      </c>
      <c r="G15" s="646">
        <f>_xlfn.IFERROR(VLOOKUP($P15,'Rd2 Winton'!$C$2:$AC$24,27,0),0)</f>
        <v>35</v>
      </c>
      <c r="H15" s="646">
        <f>_xlfn.IFERROR(VLOOKUP($P15,'Rd3 Winton IC'!$C$2:$AC$56,27,0),0)</f>
        <v>90</v>
      </c>
      <c r="I15" s="646">
        <f>_xlfn.IFERROR(VLOOKUP($P15,'Rd4 Sandown'!$C$2:$AC$30,27,0),0)</f>
        <v>65</v>
      </c>
      <c r="J15" s="646">
        <f>_xlfn.IFERROR(VLOOKUP($P15,'Rd5 Winton'!$C$2:$AC$29,27,0),0)</f>
        <v>0</v>
      </c>
      <c r="K15" s="646">
        <f>_xlfn.IFERROR(VLOOKUP($P15,'Rd6 PI'!$C$2:$AC$29,27,0),0)</f>
        <v>0</v>
      </c>
      <c r="L15" s="646">
        <f>_xlfn.IFERROR(VLOOKUP($P15,'Rd7 Winton'!$C$2:$AC$29,27,0),0)</f>
        <v>50</v>
      </c>
      <c r="M15" s="646">
        <f>_xlfn.IFERROR(VLOOKUP($P15,#REF!,27,0),0)</f>
        <v>0</v>
      </c>
      <c r="N15" s="646">
        <f>_xlfn.IFERROR(VLOOKUP($P15,#REF!,27,0),0)</f>
        <v>0</v>
      </c>
      <c r="O15" s="329">
        <f>_xlfn.IFERROR(VLOOKUP($P15,#REF!,27,0),0)</f>
        <v>0</v>
      </c>
      <c r="P15" s="5" t="str">
        <f>CONCATENATE(LOWER(B15)," ",LOWER(C15))</f>
        <v>robert downes</v>
      </c>
    </row>
    <row r="16" spans="1:16" s="5" customFormat="1" ht="12">
      <c r="A16" s="518">
        <v>14</v>
      </c>
      <c r="B16" s="115" t="s">
        <v>199</v>
      </c>
      <c r="C16" s="115" t="s">
        <v>200</v>
      </c>
      <c r="D16" s="69" t="s">
        <v>13</v>
      </c>
      <c r="E16" s="589">
        <f>SUM(F16:O16)</f>
        <v>190</v>
      </c>
      <c r="F16" s="641">
        <f>_xlfn.IFERROR(VLOOKUP($P16,'Rd1 PI'!$C$2:$AC$21,27,0),0)</f>
        <v>65</v>
      </c>
      <c r="G16" s="643">
        <f>_xlfn.IFERROR(VLOOKUP($P16,'Rd2 Winton'!$C$2:$AC$24,27,0),0)</f>
        <v>55</v>
      </c>
      <c r="H16" s="643">
        <f>_xlfn.IFERROR(VLOOKUP($P16,'Rd3 Winton IC'!$C$2:$AC$56,27,0),0)</f>
        <v>20</v>
      </c>
      <c r="I16" s="643">
        <f>_xlfn.IFERROR(VLOOKUP($P16,'Rd4 Sandown'!$C$2:$AC$30,27,0),0)</f>
        <v>50</v>
      </c>
      <c r="J16" s="643">
        <f>_xlfn.IFERROR(VLOOKUP($P16,'Rd5 Winton'!$C$2:$AC$29,27,0),0)</f>
        <v>0</v>
      </c>
      <c r="K16" s="643">
        <f>_xlfn.IFERROR(VLOOKUP($P16,'Rd6 PI'!$C$2:$AC$29,27,0),0)</f>
        <v>0</v>
      </c>
      <c r="L16" s="643">
        <f>_xlfn.IFERROR(VLOOKUP($P16,'Rd7 Winton'!$C$2:$AC$29,27,0),0)</f>
        <v>0</v>
      </c>
      <c r="M16" s="643">
        <f>_xlfn.IFERROR(VLOOKUP($P16,#REF!,27,0),0)</f>
        <v>0</v>
      </c>
      <c r="N16" s="643">
        <f>_xlfn.IFERROR(VLOOKUP($P16,#REF!,27,0),0)</f>
        <v>0</v>
      </c>
      <c r="O16" s="326">
        <f>_xlfn.IFERROR(VLOOKUP($P16,#REF!,27,0),0)</f>
        <v>0</v>
      </c>
      <c r="P16" s="5" t="str">
        <f>CONCATENATE(LOWER(B16)," ",LOWER(C16))</f>
        <v>ray monik</v>
      </c>
    </row>
    <row r="17" spans="1:16" s="5" customFormat="1" ht="12">
      <c r="A17" s="518">
        <v>15</v>
      </c>
      <c r="B17" s="173" t="s">
        <v>183</v>
      </c>
      <c r="C17" s="173" t="s">
        <v>184</v>
      </c>
      <c r="D17" s="125" t="s">
        <v>16</v>
      </c>
      <c r="E17" s="589">
        <f>SUM(F17:O17)</f>
        <v>185</v>
      </c>
      <c r="F17" s="640">
        <f>_xlfn.IFERROR(VLOOKUP($P17,'Rd1 PI'!$C$2:$AC$21,27,0),0)</f>
        <v>0</v>
      </c>
      <c r="G17" s="125">
        <f>_xlfn.IFERROR(VLOOKUP($P17,'Rd2 Winton'!$C$2:$AC$24,27,0),0)</f>
        <v>70</v>
      </c>
      <c r="H17" s="125">
        <f>_xlfn.IFERROR(VLOOKUP($P17,'Rd3 Winton IC'!$C$2:$AC$56,27,0),0)</f>
        <v>65</v>
      </c>
      <c r="I17" s="125">
        <f>_xlfn.IFERROR(VLOOKUP($P17,'Rd4 Sandown'!$C$2:$AC$30,27,0),0)</f>
        <v>0</v>
      </c>
      <c r="J17" s="125">
        <f>_xlfn.IFERROR(VLOOKUP($P17,'Rd5 Winton'!$C$2:$AC$29,27,0),0)</f>
        <v>0</v>
      </c>
      <c r="K17" s="125">
        <f>_xlfn.IFERROR(VLOOKUP($P17,'Rd6 PI'!$C$2:$AC$29,27,0),0)</f>
        <v>50</v>
      </c>
      <c r="L17" s="125">
        <f>_xlfn.IFERROR(VLOOKUP($P17,'Rd7 Winton'!$C$2:$AC$29,27,0),0)</f>
        <v>0</v>
      </c>
      <c r="M17" s="125">
        <f>_xlfn.IFERROR(VLOOKUP($P17,#REF!,27,0),0)</f>
        <v>0</v>
      </c>
      <c r="N17" s="125">
        <f>_xlfn.IFERROR(VLOOKUP($P17,#REF!,27,0),0)</f>
        <v>0</v>
      </c>
      <c r="O17" s="649">
        <f>_xlfn.IFERROR(VLOOKUP($P17,#REF!,27,0),0)</f>
        <v>0</v>
      </c>
      <c r="P17" s="5" t="str">
        <f>CONCATENATE(LOWER(B17)," ",LOWER(C17))</f>
        <v>dean watchorn</v>
      </c>
    </row>
    <row r="18" spans="1:16" s="5" customFormat="1" ht="12">
      <c r="A18" s="518">
        <v>16</v>
      </c>
      <c r="B18" s="115" t="s">
        <v>183</v>
      </c>
      <c r="C18" s="115" t="s">
        <v>200</v>
      </c>
      <c r="D18" s="69" t="s">
        <v>13</v>
      </c>
      <c r="E18" s="589">
        <f>SUM(F18:O18)</f>
        <v>160</v>
      </c>
      <c r="F18" s="641">
        <f>_xlfn.IFERROR(VLOOKUP($P18,'Rd1 PI'!$C$2:$AC$21,27,0),0)</f>
        <v>0</v>
      </c>
      <c r="G18" s="643">
        <f>_xlfn.IFERROR(VLOOKUP($P18,'Rd2 Winton'!$C$2:$AC$24,27,0),0)</f>
        <v>0</v>
      </c>
      <c r="H18" s="643">
        <f>_xlfn.IFERROR(VLOOKUP($P18,'Rd3 Winton IC'!$C$2:$AC$56,27,0),0)</f>
        <v>65</v>
      </c>
      <c r="I18" s="643">
        <f>_xlfn.IFERROR(VLOOKUP($P18,'Rd4 Sandown'!$C$2:$AC$30,27,0),0)</f>
        <v>95</v>
      </c>
      <c r="J18" s="643">
        <f>_xlfn.IFERROR(VLOOKUP($P18,'Rd5 Winton'!$C$2:$AC$29,27,0),0)</f>
        <v>0</v>
      </c>
      <c r="K18" s="643">
        <f>_xlfn.IFERROR(VLOOKUP($P18,'Rd6 PI'!$C$2:$AC$29,27,0),0)</f>
        <v>0</v>
      </c>
      <c r="L18" s="643">
        <f>_xlfn.IFERROR(VLOOKUP($P18,'Rd7 Winton'!$C$2:$AC$29,27,0),0)</f>
        <v>0</v>
      </c>
      <c r="M18" s="643">
        <f>_xlfn.IFERROR(VLOOKUP($P18,#REF!,27,0),0)</f>
        <v>0</v>
      </c>
      <c r="N18" s="643">
        <f>_xlfn.IFERROR(VLOOKUP($P18,#REF!,27,0),0)</f>
        <v>0</v>
      </c>
      <c r="O18" s="326">
        <f>_xlfn.IFERROR(VLOOKUP($P18,#REF!,27,0),0)</f>
        <v>0</v>
      </c>
      <c r="P18" s="5" t="str">
        <f>CONCATENATE(LOWER(B18)," ",LOWER(C18))</f>
        <v>dean monik</v>
      </c>
    </row>
    <row r="19" spans="1:16" s="5" customFormat="1" ht="12">
      <c r="A19" s="518">
        <v>17</v>
      </c>
      <c r="B19" s="514" t="s">
        <v>368</v>
      </c>
      <c r="C19" s="514" t="s">
        <v>370</v>
      </c>
      <c r="D19" s="415" t="s">
        <v>3</v>
      </c>
      <c r="E19" s="589">
        <f>SUM(F19:O19)</f>
        <v>130</v>
      </c>
      <c r="F19" s="635">
        <f>_xlfn.IFERROR(VLOOKUP($P19,'Rd1 PI'!$C$2:$AC$21,27,0),0)</f>
        <v>0</v>
      </c>
      <c r="G19" s="648">
        <f>_xlfn.IFERROR(VLOOKUP($P19,'Rd2 Winton'!$C$2:$AC$24,27,0),0)</f>
        <v>0</v>
      </c>
      <c r="H19" s="648">
        <f>_xlfn.IFERROR(VLOOKUP($P19,'Rd3 Winton IC'!$C$2:$AC$56,27,0),0)</f>
        <v>65</v>
      </c>
      <c r="I19" s="648">
        <f>_xlfn.IFERROR(VLOOKUP($P19,'Rd4 Sandown'!$C$2:$AC$30,27,0),0)</f>
        <v>0</v>
      </c>
      <c r="J19" s="648">
        <f>_xlfn.IFERROR(VLOOKUP($P19,'Rd5 Winton'!$C$2:$AC$29,27,0),0)</f>
        <v>0</v>
      </c>
      <c r="K19" s="648">
        <f>_xlfn.IFERROR(VLOOKUP($P19,'Rd6 PI'!$C$2:$AC$29,27,0),0)</f>
        <v>0</v>
      </c>
      <c r="L19" s="648">
        <f>_xlfn.IFERROR(VLOOKUP($P19,'Rd7 Winton'!$C$2:$AC$29,27,0),0)</f>
        <v>65</v>
      </c>
      <c r="M19" s="648">
        <f>_xlfn.IFERROR(VLOOKUP($P19,#REF!,27,0),0)</f>
        <v>0</v>
      </c>
      <c r="N19" s="648">
        <f>_xlfn.IFERROR(VLOOKUP($P19,#REF!,27,0),0)</f>
        <v>0</v>
      </c>
      <c r="O19" s="427">
        <f>_xlfn.IFERROR(VLOOKUP($P19,#REF!,27,0),0)</f>
        <v>0</v>
      </c>
      <c r="P19" s="5" t="str">
        <f>CONCATENATE(LOWER(B19)," ",LOWER(C19))</f>
        <v>daryl ervine</v>
      </c>
    </row>
    <row r="20" spans="1:16" s="5" customFormat="1" ht="12">
      <c r="A20" s="518">
        <v>18</v>
      </c>
      <c r="B20" s="291" t="s">
        <v>374</v>
      </c>
      <c r="C20" s="291" t="s">
        <v>375</v>
      </c>
      <c r="D20" s="646" t="s">
        <v>4</v>
      </c>
      <c r="E20" s="589">
        <f>SUM(F20:O20)</f>
        <v>115</v>
      </c>
      <c r="F20" s="636">
        <f>_xlfn.IFERROR(VLOOKUP($P20,'Rd1 PI'!$C$2:$AC$21,27,0),0)</f>
        <v>0</v>
      </c>
      <c r="G20" s="646">
        <f>_xlfn.IFERROR(VLOOKUP($P20,'Rd2 Winton'!$C$2:$AC$24,27,0),0)</f>
        <v>0</v>
      </c>
      <c r="H20" s="646">
        <f>_xlfn.IFERROR(VLOOKUP($P20,'Rd3 Winton IC'!$C$2:$AC$56,27,0),0)</f>
        <v>65</v>
      </c>
      <c r="I20" s="646">
        <f>_xlfn.IFERROR(VLOOKUP($P20,'Rd4 Sandown'!$C$2:$AC$30,27,0),0)</f>
        <v>0</v>
      </c>
      <c r="J20" s="646">
        <f>_xlfn.IFERROR(VLOOKUP($P20,'Rd5 Winton'!$C$2:$AC$29,27,0),0)</f>
        <v>0</v>
      </c>
      <c r="K20" s="646">
        <f>_xlfn.IFERROR(VLOOKUP($P20,'Rd6 PI'!$C$2:$AC$29,27,0),0)</f>
        <v>50</v>
      </c>
      <c r="L20" s="646">
        <f>_xlfn.IFERROR(VLOOKUP($P20,'Rd7 Winton'!$C$2:$AC$29,27,0),0)</f>
        <v>0</v>
      </c>
      <c r="M20" s="646">
        <f>_xlfn.IFERROR(VLOOKUP($P20,#REF!,27,0),0)</f>
        <v>0</v>
      </c>
      <c r="N20" s="646">
        <f>_xlfn.IFERROR(VLOOKUP($P20,#REF!,27,0),0)</f>
        <v>0</v>
      </c>
      <c r="O20" s="329">
        <f>_xlfn.IFERROR(VLOOKUP($P20,#REF!,27,0),0)</f>
        <v>0</v>
      </c>
      <c r="P20" s="5" t="str">
        <f>CONCATENATE(LOWER(B20)," ",LOWER(C20))</f>
        <v>hung do</v>
      </c>
    </row>
    <row r="21" spans="1:16" s="5" customFormat="1" ht="12">
      <c r="A21" s="518">
        <v>19</v>
      </c>
      <c r="B21" s="159" t="s">
        <v>427</v>
      </c>
      <c r="C21" s="159" t="s">
        <v>428</v>
      </c>
      <c r="D21" s="50" t="s">
        <v>14</v>
      </c>
      <c r="E21" s="589">
        <f>SUM(F21:O21)</f>
        <v>110</v>
      </c>
      <c r="F21" s="637">
        <f>_xlfn.IFERROR(VLOOKUP($P21,'Rd1 PI'!$C$2:$AC$21,27,0),0)</f>
        <v>0</v>
      </c>
      <c r="G21" s="57">
        <f>_xlfn.IFERROR(VLOOKUP($P21,'Rd2 Winton'!$C$2:$AC$24,27,0),0)</f>
        <v>0</v>
      </c>
      <c r="H21" s="57">
        <f>_xlfn.IFERROR(VLOOKUP($P21,'Rd3 Winton IC'!$C$2:$AC$56,27,0),0)</f>
        <v>0</v>
      </c>
      <c r="I21" s="57">
        <f>_xlfn.IFERROR(VLOOKUP($P21,'Rd4 Sandown'!$C$2:$AC$30,27,0),0)</f>
        <v>110</v>
      </c>
      <c r="J21" s="57">
        <f>_xlfn.IFERROR(VLOOKUP($P21,'Rd5 Winton'!$C$2:$AC$29,27,0),0)</f>
        <v>0</v>
      </c>
      <c r="K21" s="57">
        <f>_xlfn.IFERROR(VLOOKUP($P21,'Rd6 PI'!$C$2:$AC$29,27,0),0)</f>
        <v>0</v>
      </c>
      <c r="L21" s="57">
        <f>_xlfn.IFERROR(VLOOKUP($P21,'Rd7 Winton'!$C$2:$AC$29,27,0),0)</f>
        <v>0</v>
      </c>
      <c r="M21" s="57">
        <f>_xlfn.IFERROR(VLOOKUP($P21,#REF!,27,0),0)</f>
        <v>0</v>
      </c>
      <c r="N21" s="57">
        <f>_xlfn.IFERROR(VLOOKUP($P21,#REF!,27,0),0)</f>
        <v>0</v>
      </c>
      <c r="O21" s="327">
        <f>_xlfn.IFERROR(VLOOKUP($P21,#REF!,27,0),0)</f>
        <v>0</v>
      </c>
      <c r="P21" s="5" t="str">
        <f>CONCATENATE(LOWER(B21)," ",LOWER(C21))</f>
        <v>brendan beavis</v>
      </c>
    </row>
    <row r="22" spans="1:16" s="5" customFormat="1" ht="12">
      <c r="A22" s="518">
        <v>20</v>
      </c>
      <c r="B22" s="56" t="s">
        <v>147</v>
      </c>
      <c r="C22" s="47" t="s">
        <v>148</v>
      </c>
      <c r="D22" s="48" t="s">
        <v>5</v>
      </c>
      <c r="E22" s="589">
        <f>SUM(F22:O22)</f>
        <v>105</v>
      </c>
      <c r="F22" s="633">
        <f>_xlfn.IFERROR(VLOOKUP($P22,'Rd1 PI'!$C$2:$AC$21,27,0),0)</f>
        <v>35</v>
      </c>
      <c r="G22" s="647">
        <f>_xlfn.IFERROR(VLOOKUP($P22,'Rd2 Winton'!$C$2:$AC$24,27,0),0)</f>
        <v>35</v>
      </c>
      <c r="H22" s="647">
        <f>_xlfn.IFERROR(VLOOKUP($P22,'Rd3 Winton IC'!$C$2:$AC$56,27,0),0)</f>
        <v>0</v>
      </c>
      <c r="I22" s="647">
        <f>_xlfn.IFERROR(VLOOKUP($P22,'Rd4 Sandown'!$C$2:$AC$30,27,0),0)</f>
        <v>35</v>
      </c>
      <c r="J22" s="647">
        <f>_xlfn.IFERROR(VLOOKUP($P22,'Rd5 Winton'!$C$2:$AC$29,27,0),0)</f>
        <v>0</v>
      </c>
      <c r="K22" s="647">
        <f>_xlfn.IFERROR(VLOOKUP($P22,'Rd6 PI'!$C$2:$AC$29,27,0),0)</f>
        <v>0</v>
      </c>
      <c r="L22" s="647">
        <f>_xlfn.IFERROR(VLOOKUP($P22,'Rd7 Winton'!$C$2:$AC$29,27,0),0)</f>
        <v>0</v>
      </c>
      <c r="M22" s="647">
        <f>_xlfn.IFERROR(VLOOKUP($P22,#REF!,27,0),0)</f>
        <v>0</v>
      </c>
      <c r="N22" s="647">
        <f>_xlfn.IFERROR(VLOOKUP($P22,#REF!,27,0),0)</f>
        <v>0</v>
      </c>
      <c r="O22" s="325">
        <f>_xlfn.IFERROR(VLOOKUP($P22,#REF!,27,0),0)</f>
        <v>0</v>
      </c>
      <c r="P22" s="5" t="str">
        <f>CONCATENATE(LOWER(B22)," ",LOWER(C22))</f>
        <v>matthew cavell</v>
      </c>
    </row>
    <row r="23" spans="1:16" s="5" customFormat="1" ht="12">
      <c r="A23" s="518">
        <v>20</v>
      </c>
      <c r="B23" s="291" t="s">
        <v>377</v>
      </c>
      <c r="C23" s="291" t="s">
        <v>376</v>
      </c>
      <c r="D23" s="646" t="s">
        <v>4</v>
      </c>
      <c r="E23" s="589">
        <f>SUM(F23:O23)</f>
        <v>95</v>
      </c>
      <c r="F23" s="636">
        <f>_xlfn.IFERROR(VLOOKUP($P23,'Rd1 PI'!$C$2:$AC$21,27,0),0)</f>
        <v>0</v>
      </c>
      <c r="G23" s="646">
        <f>_xlfn.IFERROR(VLOOKUP($P23,'Rd2 Winton'!$C$2:$AC$24,27,0),0)</f>
        <v>0</v>
      </c>
      <c r="H23" s="646">
        <f>_xlfn.IFERROR(VLOOKUP($P23,'Rd3 Winton IC'!$C$2:$AC$56,27,0),0)</f>
        <v>5</v>
      </c>
      <c r="I23" s="646">
        <f>_xlfn.IFERROR(VLOOKUP($P23,'Rd4 Sandown'!$C$2:$AC$30,27,0),0)</f>
        <v>90</v>
      </c>
      <c r="J23" s="646">
        <f>_xlfn.IFERROR(VLOOKUP($P23,'Rd5 Winton'!$C$2:$AC$29,27,0),0)</f>
        <v>0</v>
      </c>
      <c r="K23" s="646">
        <f>_xlfn.IFERROR(VLOOKUP($P23,'Rd6 PI'!$C$2:$AC$29,27,0),0)</f>
        <v>0</v>
      </c>
      <c r="L23" s="646">
        <f>_xlfn.IFERROR(VLOOKUP($P23,'Rd7 Winton'!$C$2:$AC$29,27,0),0)</f>
        <v>0</v>
      </c>
      <c r="M23" s="646">
        <f>_xlfn.IFERROR(VLOOKUP($P23,#REF!,27,0),0)</f>
        <v>0</v>
      </c>
      <c r="N23" s="646">
        <f>_xlfn.IFERROR(VLOOKUP($P23,#REF!,27,0),0)</f>
        <v>0</v>
      </c>
      <c r="O23" s="329">
        <f>_xlfn.IFERROR(VLOOKUP($P23,#REF!,27,0),0)</f>
        <v>0</v>
      </c>
      <c r="P23" s="5" t="str">
        <f>CONCATENATE(LOWER(B23)," ",LOWER(C23))</f>
        <v>matt brogan</v>
      </c>
    </row>
    <row r="24" spans="1:16" s="5" customFormat="1" ht="12">
      <c r="A24" s="518">
        <v>21</v>
      </c>
      <c r="B24" s="115" t="s">
        <v>29</v>
      </c>
      <c r="C24" s="115" t="s">
        <v>30</v>
      </c>
      <c r="D24" s="69" t="s">
        <v>13</v>
      </c>
      <c r="E24" s="589">
        <f>SUM(F24:O24)</f>
        <v>80</v>
      </c>
      <c r="F24" s="641">
        <f>_xlfn.IFERROR(VLOOKUP($P24,'Rd1 PI'!$C$2:$AC$21,27,0),0)</f>
        <v>50</v>
      </c>
      <c r="G24" s="643">
        <f>_xlfn.IFERROR(VLOOKUP($P24,'Rd2 Winton'!$C$2:$AC$24,27,0),0)</f>
        <v>20</v>
      </c>
      <c r="H24" s="643">
        <f>_xlfn.IFERROR(VLOOKUP($P24,'Rd3 Winton IC'!$C$2:$AC$56,27,0),0)</f>
        <v>5</v>
      </c>
      <c r="I24" s="643">
        <f>_xlfn.IFERROR(VLOOKUP($P24,'Rd4 Sandown'!$C$2:$AC$30,27,0),0)</f>
        <v>0</v>
      </c>
      <c r="J24" s="643">
        <f>_xlfn.IFERROR(VLOOKUP($P24,'Rd5 Winton'!$C$2:$AC$29,27,0),0)</f>
        <v>0</v>
      </c>
      <c r="K24" s="643">
        <f>_xlfn.IFERROR(VLOOKUP($P24,'Rd6 PI'!$C$2:$AC$29,27,0),0)</f>
        <v>0</v>
      </c>
      <c r="L24" s="643">
        <f>_xlfn.IFERROR(VLOOKUP($P24,'Rd7 Winton'!$C$2:$AC$29,27,0),0)</f>
        <v>5</v>
      </c>
      <c r="M24" s="643">
        <f>_xlfn.IFERROR(VLOOKUP($P24,#REF!,27,0),0)</f>
        <v>0</v>
      </c>
      <c r="N24" s="643">
        <f>_xlfn.IFERROR(VLOOKUP($P24,#REF!,27,0),0)</f>
        <v>0</v>
      </c>
      <c r="O24" s="326">
        <f>_xlfn.IFERROR(VLOOKUP($P24,#REF!,27,0),0)</f>
        <v>0</v>
      </c>
      <c r="P24" s="5" t="str">
        <f>CONCATENATE(LOWER(B24)," ",LOWER(C24))</f>
        <v>tim meaden</v>
      </c>
    </row>
    <row r="25" spans="1:16" s="5" customFormat="1" ht="12">
      <c r="A25" s="518">
        <v>22</v>
      </c>
      <c r="B25" s="56" t="s">
        <v>512</v>
      </c>
      <c r="C25" s="56" t="s">
        <v>513</v>
      </c>
      <c r="D25" s="48" t="s">
        <v>5</v>
      </c>
      <c r="E25" s="589">
        <f>SUM(F25:O25)</f>
        <v>65</v>
      </c>
      <c r="F25" s="633">
        <f>_xlfn.IFERROR(VLOOKUP($P25,'Rd1 PI'!$C$2:$AC$21,27,0),0)</f>
        <v>0</v>
      </c>
      <c r="G25" s="647">
        <f>_xlfn.IFERROR(VLOOKUP($P25,'Rd2 Winton'!$C$2:$AC$24,27,0),0)</f>
        <v>0</v>
      </c>
      <c r="H25" s="647">
        <f>_xlfn.IFERROR(VLOOKUP($P25,'Rd3 Winton IC'!$C$2:$AC$56,27,0),0)</f>
        <v>0</v>
      </c>
      <c r="I25" s="647">
        <f>_xlfn.IFERROR(VLOOKUP($P25,'Rd4 Sandown'!$C$2:$AC$30,27,0),0)</f>
        <v>0</v>
      </c>
      <c r="J25" s="647">
        <f>_xlfn.IFERROR(VLOOKUP($P25,'Rd5 Winton'!$C$2:$AC$29,27,0),0)</f>
        <v>0</v>
      </c>
      <c r="K25" s="647">
        <f>_xlfn.IFERROR(VLOOKUP($P25,'Rd6 PI'!$C$2:$AC$29,27,0),0)</f>
        <v>0</v>
      </c>
      <c r="L25" s="647">
        <f>_xlfn.IFERROR(VLOOKUP($P25,'Rd7 Winton'!$C$2:$AC$29,27,0),0)</f>
        <v>65</v>
      </c>
      <c r="M25" s="647">
        <f>_xlfn.IFERROR(VLOOKUP($P25,#REF!,27,0),0)</f>
        <v>0</v>
      </c>
      <c r="N25" s="647">
        <f>_xlfn.IFERROR(VLOOKUP($P25,#REF!,27,0),0)</f>
        <v>0</v>
      </c>
      <c r="O25" s="325">
        <f>_xlfn.IFERROR(VLOOKUP($P25,#REF!,27,0),0)</f>
        <v>0</v>
      </c>
      <c r="P25" s="5" t="str">
        <f>CONCATENATE(LOWER(B25)," ",LOWER(C25))</f>
        <v>stuart dawson</v>
      </c>
    </row>
    <row r="26" spans="1:16" s="5" customFormat="1" ht="12">
      <c r="A26" s="518">
        <v>23</v>
      </c>
      <c r="B26" s="102" t="s">
        <v>62</v>
      </c>
      <c r="C26" s="102" t="s">
        <v>59</v>
      </c>
      <c r="D26" s="36" t="s">
        <v>21</v>
      </c>
      <c r="E26" s="589">
        <f>SUM(F26:O26)</f>
        <v>50</v>
      </c>
      <c r="F26" s="634">
        <f>_xlfn.IFERROR(VLOOKUP($P26,'Rd1 PI'!$C$2:$AC$21,27,0),0)</f>
        <v>50</v>
      </c>
      <c r="G26" s="644">
        <f>_xlfn.IFERROR(VLOOKUP($P26,'Rd2 Winton'!$C$2:$AC$24,27,0),0)</f>
        <v>0</v>
      </c>
      <c r="H26" s="644">
        <f>_xlfn.IFERROR(VLOOKUP($P26,'Rd3 Winton IC'!$C$2:$AC$56,27,0),0)</f>
        <v>0</v>
      </c>
      <c r="I26" s="644">
        <f>_xlfn.IFERROR(VLOOKUP($P26,'Rd4 Sandown'!$C$2:$AC$30,27,0),0)</f>
        <v>0</v>
      </c>
      <c r="J26" s="644">
        <f>_xlfn.IFERROR(VLOOKUP($P26,'Rd5 Winton'!$C$2:$AC$29,27,0),0)</f>
        <v>0</v>
      </c>
      <c r="K26" s="644">
        <f>_xlfn.IFERROR(VLOOKUP($P26,'Rd6 PI'!$C$2:$AC$29,27,0),0)</f>
        <v>0</v>
      </c>
      <c r="L26" s="644">
        <f>_xlfn.IFERROR(VLOOKUP($P26,'Rd7 Winton'!$C$2:$AC$29,27,0),0)</f>
        <v>0</v>
      </c>
      <c r="M26" s="644">
        <f>_xlfn.IFERROR(VLOOKUP($P26,#REF!,27,0),0)</f>
        <v>0</v>
      </c>
      <c r="N26" s="644">
        <f>_xlfn.IFERROR(VLOOKUP($P26,#REF!,27,0),0)</f>
        <v>0</v>
      </c>
      <c r="O26" s="328">
        <f>_xlfn.IFERROR(VLOOKUP($P26,#REF!,27,0),0)</f>
        <v>0</v>
      </c>
      <c r="P26" s="5" t="str">
        <f>CONCATENATE(LOWER(B26)," ",LOWER(C26))</f>
        <v>gareth pedley</v>
      </c>
    </row>
    <row r="27" spans="1:16" s="5" customFormat="1" ht="12">
      <c r="A27" s="518">
        <v>24</v>
      </c>
      <c r="B27" s="159" t="s">
        <v>81</v>
      </c>
      <c r="C27" s="159" t="s">
        <v>146</v>
      </c>
      <c r="D27" s="50" t="s">
        <v>14</v>
      </c>
      <c r="E27" s="589">
        <f>SUM(F27:O27)</f>
        <v>35</v>
      </c>
      <c r="F27" s="637">
        <f>_xlfn.IFERROR(VLOOKUP($P27,'Rd1 PI'!$C$2:$AC$21,27,0),0)</f>
        <v>35</v>
      </c>
      <c r="G27" s="57">
        <f>_xlfn.IFERROR(VLOOKUP($P27,'Rd2 Winton'!$C$2:$AC$24,27,0),0)</f>
        <v>0</v>
      </c>
      <c r="H27" s="57">
        <f>_xlfn.IFERROR(VLOOKUP($P27,'Rd3 Winton IC'!$C$2:$AC$56,27,0),0)</f>
        <v>0</v>
      </c>
      <c r="I27" s="57">
        <f>_xlfn.IFERROR(VLOOKUP($P27,'Rd4 Sandown'!$C$2:$AC$30,27,0),0)</f>
        <v>0</v>
      </c>
      <c r="J27" s="57">
        <f>_xlfn.IFERROR(VLOOKUP($P27,'Rd5 Winton'!$C$2:$AC$29,27,0),0)</f>
        <v>0</v>
      </c>
      <c r="K27" s="57">
        <f>_xlfn.IFERROR(VLOOKUP($P27,'Rd6 PI'!$C$2:$AC$29,27,0),0)</f>
        <v>0</v>
      </c>
      <c r="L27" s="57">
        <f>_xlfn.IFERROR(VLOOKUP($P27,'Rd7 Winton'!$C$2:$AC$29,27,0),0)</f>
        <v>0</v>
      </c>
      <c r="M27" s="57">
        <f>_xlfn.IFERROR(VLOOKUP($P27,#REF!,27,0),0)</f>
        <v>0</v>
      </c>
      <c r="N27" s="57">
        <f>_xlfn.IFERROR(VLOOKUP($P27,#REF!,27,0),0)</f>
        <v>0</v>
      </c>
      <c r="O27" s="327">
        <f>_xlfn.IFERROR(VLOOKUP($P27,#REF!,27,0),0)</f>
        <v>0</v>
      </c>
      <c r="P27" s="5" t="str">
        <f>CONCATENATE(LOWER(B27)," ",LOWER(C27))</f>
        <v>john vaughan</v>
      </c>
    </row>
    <row r="28" spans="1:16" s="5" customFormat="1" ht="12">
      <c r="A28" s="518">
        <v>25</v>
      </c>
      <c r="B28" s="102" t="s">
        <v>431</v>
      </c>
      <c r="C28" s="102" t="s">
        <v>432</v>
      </c>
      <c r="D28" s="36" t="s">
        <v>21</v>
      </c>
      <c r="E28" s="589">
        <f>SUM(F28:O28)</f>
        <v>20</v>
      </c>
      <c r="F28" s="634">
        <f>_xlfn.IFERROR(VLOOKUP($P28,'Rd1 PI'!$C$2:$AC$21,27,0),0)</f>
        <v>0</v>
      </c>
      <c r="G28" s="644">
        <f>_xlfn.IFERROR(VLOOKUP($P28,'Rd2 Winton'!$C$2:$AC$24,27,0),0)</f>
        <v>0</v>
      </c>
      <c r="H28" s="644">
        <f>_xlfn.IFERROR(VLOOKUP($P28,'Rd3 Winton IC'!$C$2:$AC$56,27,0),0)</f>
        <v>0</v>
      </c>
      <c r="I28" s="644">
        <f>_xlfn.IFERROR(VLOOKUP($P28,'Rd4 Sandown'!$C$2:$AC$30,27,0),0)</f>
        <v>20</v>
      </c>
      <c r="J28" s="644">
        <f>_xlfn.IFERROR(VLOOKUP($P28,'Rd5 Winton'!$C$2:$AC$29,27,0),0)</f>
        <v>0</v>
      </c>
      <c r="K28" s="644">
        <f>_xlfn.IFERROR(VLOOKUP($P28,'Rd6 PI'!$C$2:$AC$29,27,0),0)</f>
        <v>0</v>
      </c>
      <c r="L28" s="644">
        <f>_xlfn.IFERROR(VLOOKUP($P28,'Rd7 Winton'!$C$2:$AC$29,27,0),0)</f>
        <v>0</v>
      </c>
      <c r="M28" s="644">
        <f>_xlfn.IFERROR(VLOOKUP($P28,#REF!,27,0),0)</f>
        <v>0</v>
      </c>
      <c r="N28" s="644">
        <f>_xlfn.IFERROR(VLOOKUP($P28,#REF!,27,0),0)</f>
        <v>0</v>
      </c>
      <c r="O28" s="328">
        <f>_xlfn.IFERROR(VLOOKUP($P28,#REF!,27,0),0)</f>
        <v>0</v>
      </c>
      <c r="P28" s="5" t="str">
        <f>CONCATENATE(LOWER(B28)," ",LOWER(C28))</f>
        <v>murray seymour</v>
      </c>
    </row>
    <row r="29" spans="1:16" s="5" customFormat="1" ht="12">
      <c r="A29" s="518">
        <v>25</v>
      </c>
      <c r="B29" s="173" t="s">
        <v>65</v>
      </c>
      <c r="C29" s="173" t="s">
        <v>373</v>
      </c>
      <c r="D29" s="125" t="s">
        <v>16</v>
      </c>
      <c r="E29" s="589">
        <f>SUM(F29:O29)</f>
        <v>20</v>
      </c>
      <c r="F29" s="640">
        <f>_xlfn.IFERROR(VLOOKUP($P29,'Rd1 PI'!$C$2:$AC$21,27,0),0)</f>
        <v>0</v>
      </c>
      <c r="G29" s="125">
        <f>_xlfn.IFERROR(VLOOKUP($P29,'Rd2 Winton'!$C$2:$AC$24,27,0),0)</f>
        <v>0</v>
      </c>
      <c r="H29" s="125">
        <f>_xlfn.IFERROR(VLOOKUP($P29,'Rd3 Winton IC'!$C$2:$AC$56,27,0),0)</f>
        <v>20</v>
      </c>
      <c r="I29" s="125">
        <f>_xlfn.IFERROR(VLOOKUP($P29,'Rd4 Sandown'!$C$2:$AC$30,27,0),0)</f>
        <v>0</v>
      </c>
      <c r="J29" s="125">
        <f>_xlfn.IFERROR(VLOOKUP($P29,'Rd5 Winton'!$C$2:$AC$29,27,0),0)</f>
        <v>0</v>
      </c>
      <c r="K29" s="125">
        <f>_xlfn.IFERROR(VLOOKUP($P29,'Rd6 PI'!$C$2:$AC$29,27,0),0)</f>
        <v>0</v>
      </c>
      <c r="L29" s="125">
        <f>_xlfn.IFERROR(VLOOKUP($P29,'Rd7 Winton'!$C$2:$AC$29,27,0),0)</f>
        <v>0</v>
      </c>
      <c r="M29" s="125">
        <f>_xlfn.IFERROR(VLOOKUP($P29,#REF!,27,0),0)</f>
        <v>0</v>
      </c>
      <c r="N29" s="125">
        <f>_xlfn.IFERROR(VLOOKUP($P29,#REF!,27,0),0)</f>
        <v>0</v>
      </c>
      <c r="O29" s="649">
        <f>_xlfn.IFERROR(VLOOKUP($P29,#REF!,27,0),0)</f>
        <v>0</v>
      </c>
      <c r="P29" s="5" t="str">
        <f>CONCATENATE(LOWER(B29)," ",LOWER(C29))</f>
        <v>robert parr</v>
      </c>
    </row>
    <row r="30" spans="1:16" s="5" customFormat="1" ht="12">
      <c r="A30" s="518">
        <v>27</v>
      </c>
      <c r="B30" s="291" t="s">
        <v>193</v>
      </c>
      <c r="C30" s="291" t="s">
        <v>194</v>
      </c>
      <c r="D30" s="503" t="s">
        <v>4</v>
      </c>
      <c r="E30" s="589">
        <f>SUM(F30:O30)</f>
        <v>15</v>
      </c>
      <c r="F30" s="636">
        <f>_xlfn.IFERROR(VLOOKUP($P30,'Rd1 PI'!$C$2:$AC$21,27,0),0)</f>
        <v>0</v>
      </c>
      <c r="G30" s="646">
        <f>_xlfn.IFERROR(VLOOKUP($P30,'Rd2 Winton'!$C$2:$AC$21,27,0),0)</f>
        <v>5</v>
      </c>
      <c r="H30" s="646">
        <f>_xlfn.IFERROR(VLOOKUP($P30,'Rd3 Winton IC'!$C$2:$AC$56,27,0),0)</f>
        <v>0</v>
      </c>
      <c r="I30" s="646">
        <f>_xlfn.IFERROR(VLOOKUP($P30,'Rd4 Sandown'!$C$2:$AC$30,27,0),0)</f>
        <v>5</v>
      </c>
      <c r="J30" s="646">
        <f>_xlfn.IFERROR(VLOOKUP($P30,'Rd5 Winton'!$C$2:$AC$29,27,0),0)</f>
        <v>0</v>
      </c>
      <c r="K30" s="646">
        <f>_xlfn.IFERROR(VLOOKUP($P30,'Rd6 PI'!$C$2:$AC$29,27,0),0)</f>
        <v>5</v>
      </c>
      <c r="L30" s="646">
        <f>_xlfn.IFERROR(VLOOKUP($P30,'Rd7 Winton'!$C$2:$AC$29,27,0),0)</f>
        <v>0</v>
      </c>
      <c r="M30" s="646">
        <f>_xlfn.IFERROR(VLOOKUP($P30,#REF!,27,0),0)</f>
        <v>0</v>
      </c>
      <c r="N30" s="646">
        <f>_xlfn.IFERROR(VLOOKUP($P30,#REF!,27,0),0)</f>
        <v>0</v>
      </c>
      <c r="O30" s="329">
        <f>_xlfn.IFERROR(VLOOKUP($P30,#REF!,27,0),0)</f>
        <v>0</v>
      </c>
      <c r="P30" s="5" t="str">
        <f>CONCATENATE(LOWER(B30)," ",LOWER(C30))</f>
        <v>ian vague</v>
      </c>
    </row>
    <row r="31" spans="1:16" s="5" customFormat="1" ht="12">
      <c r="A31" s="518">
        <v>28</v>
      </c>
      <c r="B31" s="333" t="s">
        <v>514</v>
      </c>
      <c r="C31" s="333" t="s">
        <v>515</v>
      </c>
      <c r="D31" s="515" t="s">
        <v>51</v>
      </c>
      <c r="E31" s="589">
        <f>SUM(F31:O31)</f>
        <v>5</v>
      </c>
      <c r="F31" s="335">
        <f>_xlfn.IFERROR(VLOOKUP($P31,'Rd1 PI'!$C$2:$AC$21,27,0),0)</f>
        <v>0</v>
      </c>
      <c r="G31" s="512">
        <f>_xlfn.IFERROR(VLOOKUP($P31,'Rd2 Winton'!$C$2:$AC$24,27,0),0)</f>
        <v>0</v>
      </c>
      <c r="H31" s="334">
        <f>_xlfn.IFERROR(VLOOKUP($P31,'Rd3 Winton IC'!$C$2:$AC$56,27,0),0)</f>
        <v>0</v>
      </c>
      <c r="I31" s="334">
        <f>_xlfn.IFERROR(VLOOKUP($P31,'Rd4 Sandown'!$C$2:$AC$30,27,0),0)</f>
        <v>0</v>
      </c>
      <c r="J31" s="334">
        <f>_xlfn.IFERROR(VLOOKUP($P31,'Rd5 Winton'!$C$2:$AC$29,27,0),0)</f>
        <v>0</v>
      </c>
      <c r="K31" s="334">
        <f>_xlfn.IFERROR(VLOOKUP($P31,'Rd6 PI'!$C$2:$AC$29,27,0),0)</f>
        <v>0</v>
      </c>
      <c r="L31" s="334">
        <f>_xlfn.IFERROR(VLOOKUP($P31,'Rd7 Winton'!$C$2:$AC$29,27,0),0)</f>
        <v>5</v>
      </c>
      <c r="M31" s="334">
        <f>_xlfn.IFERROR(VLOOKUP($P31,#REF!,27,0),0)</f>
        <v>0</v>
      </c>
      <c r="N31" s="334">
        <f>_xlfn.IFERROR(VLOOKUP($P31,#REF!,27,0),0)</f>
        <v>0</v>
      </c>
      <c r="O31" s="516">
        <f>_xlfn.IFERROR(VLOOKUP($P31,#REF!,27,0),0)</f>
        <v>0</v>
      </c>
      <c r="P31" s="5" t="str">
        <f>CONCATENATE(LOWER(B31)," ",LOWER(C31))</f>
        <v>simon acfield</v>
      </c>
    </row>
    <row r="32" spans="1:16" s="5" customFormat="1" ht="12">
      <c r="A32" s="518">
        <v>28</v>
      </c>
      <c r="B32" s="333" t="s">
        <v>81</v>
      </c>
      <c r="C32" s="333" t="s">
        <v>378</v>
      </c>
      <c r="D32" s="515" t="s">
        <v>51</v>
      </c>
      <c r="E32" s="589">
        <f>SUM(F32:O32)</f>
        <v>5</v>
      </c>
      <c r="F32" s="335">
        <f>_xlfn.IFERROR(VLOOKUP($P32,'Rd1 PI'!$C$2:$AC$21,27,0),0)</f>
        <v>0</v>
      </c>
      <c r="G32" s="512">
        <f>_xlfn.IFERROR(VLOOKUP($P32,'Rd2 Winton'!$C$2:$AC$24,27,0),0)</f>
        <v>0</v>
      </c>
      <c r="H32" s="334">
        <f>_xlfn.IFERROR(VLOOKUP($P32,'Rd3 Winton IC'!$C$2:$AC$56,27,0),0)</f>
        <v>5</v>
      </c>
      <c r="I32" s="334">
        <f>_xlfn.IFERROR(VLOOKUP($P32,'Rd4 Sandown'!$C$2:$AC$30,27,0),0)</f>
        <v>0</v>
      </c>
      <c r="J32" s="334">
        <f>_xlfn.IFERROR(VLOOKUP($P32,'Rd5 Winton'!$C$2:$AC$29,27,0),0)</f>
        <v>0</v>
      </c>
      <c r="K32" s="334">
        <f>_xlfn.IFERROR(VLOOKUP($P32,'Rd6 PI'!$C$2:$AC$29,27,0),0)</f>
        <v>0</v>
      </c>
      <c r="L32" s="334">
        <f>_xlfn.IFERROR(VLOOKUP($P32,'Rd7 Winton'!$C$2:$AC$29,27,0),0)</f>
        <v>0</v>
      </c>
      <c r="M32" s="334">
        <f>_xlfn.IFERROR(VLOOKUP($P32,#REF!,27,0),0)</f>
        <v>0</v>
      </c>
      <c r="N32" s="334">
        <f>_xlfn.IFERROR(VLOOKUP($P32,#REF!,27,0),0)</f>
        <v>0</v>
      </c>
      <c r="O32" s="516">
        <f>_xlfn.IFERROR(VLOOKUP($P32,#REF!,27,0),0)</f>
        <v>0</v>
      </c>
      <c r="P32" s="5" t="str">
        <f>CONCATENATE(LOWER(B32)," ",LOWER(C32))</f>
        <v>john reid</v>
      </c>
    </row>
    <row r="33" spans="1:16" s="5" customFormat="1" ht="12.75" thickBot="1">
      <c r="A33" s="519">
        <v>28</v>
      </c>
      <c r="B33" s="592" t="s">
        <v>371</v>
      </c>
      <c r="C33" s="592" t="s">
        <v>372</v>
      </c>
      <c r="D33" s="593" t="s">
        <v>13</v>
      </c>
      <c r="E33" s="590">
        <f>SUM(F33:O33)</f>
        <v>5</v>
      </c>
      <c r="F33" s="642">
        <f>_xlfn.IFERROR(VLOOKUP($P33,'Rd1 PI'!$C$2:$AC$21,27,0),0)</f>
        <v>0</v>
      </c>
      <c r="G33" s="591">
        <f>_xlfn.IFERROR(VLOOKUP($P33,'Rd2 Winton'!$C$2:$AC$24,27,0),0)</f>
        <v>0</v>
      </c>
      <c r="H33" s="591">
        <f>_xlfn.IFERROR(VLOOKUP($P33,'Rd3 Winton IC'!$C$2:$AC$56,27,0),0)</f>
        <v>5</v>
      </c>
      <c r="I33" s="591">
        <f>_xlfn.IFERROR(VLOOKUP($P33,'Rd4 Sandown'!$C$2:$AC$30,27,0),0)</f>
        <v>0</v>
      </c>
      <c r="J33" s="591">
        <f>_xlfn.IFERROR(VLOOKUP($P33,'Rd5 Winton'!$C$2:$AC$29,27,0),0)</f>
        <v>0</v>
      </c>
      <c r="K33" s="591">
        <f>_xlfn.IFERROR(VLOOKUP($P33,'Rd6 PI'!$C$2:$AC$29,27,0),0)</f>
        <v>0</v>
      </c>
      <c r="L33" s="591">
        <f>_xlfn.IFERROR(VLOOKUP($P33,'Rd7 Winton'!$C$2:$AC$29,27,0),0)</f>
        <v>0</v>
      </c>
      <c r="M33" s="591">
        <f>_xlfn.IFERROR(VLOOKUP($P33,#REF!,27,0),0)</f>
        <v>0</v>
      </c>
      <c r="N33" s="591">
        <f>_xlfn.IFERROR(VLOOKUP($P33,#REF!,27,0),0)</f>
        <v>0</v>
      </c>
      <c r="O33" s="594">
        <f>_xlfn.IFERROR(VLOOKUP($P33,#REF!,27,0),0)</f>
        <v>0</v>
      </c>
      <c r="P33" s="5" t="str">
        <f>CONCATENATE(LOWER(B33)," ",LOWER(C33))</f>
        <v>kim cole</v>
      </c>
    </row>
    <row r="34" spans="1:17" ht="12">
      <c r="A34" s="3"/>
      <c r="B34" s="9"/>
      <c r="C34" s="9"/>
      <c r="D34" s="12"/>
      <c r="E34" s="12"/>
      <c r="F34" s="5"/>
      <c r="G34" s="5"/>
      <c r="H34" s="5"/>
      <c r="I34" s="5"/>
      <c r="J34" s="5"/>
      <c r="K34" s="5"/>
      <c r="L34" s="5"/>
      <c r="M34" s="5"/>
      <c r="N34" s="5"/>
      <c r="O34" s="5"/>
      <c r="P34" s="14"/>
      <c r="Q34" s="15"/>
    </row>
    <row r="35" spans="1:17" ht="15">
      <c r="A35" s="10" t="s">
        <v>6</v>
      </c>
      <c r="B35" s="6"/>
      <c r="C35" s="6"/>
      <c r="D35" s="17"/>
      <c r="E35" s="24"/>
      <c r="F35" s="12"/>
      <c r="G35" s="12"/>
      <c r="H35" s="12"/>
      <c r="I35" s="12"/>
      <c r="J35" s="12"/>
      <c r="K35" s="12"/>
      <c r="L35" s="12"/>
      <c r="M35" s="12"/>
      <c r="N35" s="12"/>
      <c r="O35" s="12"/>
      <c r="P35" s="14"/>
      <c r="Q35" s="15"/>
    </row>
    <row r="36" spans="1:17" ht="12">
      <c r="A36" s="16"/>
      <c r="B36" s="6"/>
      <c r="C36" s="6"/>
      <c r="D36" s="17"/>
      <c r="E36" s="24"/>
      <c r="F36" s="12"/>
      <c r="G36" s="12"/>
      <c r="H36" s="12"/>
      <c r="I36" s="12"/>
      <c r="J36" s="12"/>
      <c r="K36" s="12"/>
      <c r="L36" s="12"/>
      <c r="M36" s="12"/>
      <c r="N36" s="12"/>
      <c r="O36" s="12"/>
      <c r="P36" s="14"/>
      <c r="Q36" s="15"/>
    </row>
    <row r="37" spans="1:15" s="5" customFormat="1" ht="12.75" thickBot="1">
      <c r="A37" s="76" t="s">
        <v>7</v>
      </c>
      <c r="B37" s="77"/>
      <c r="C37" s="77"/>
      <c r="D37" s="7"/>
      <c r="E37" s="24"/>
      <c r="F37" s="12"/>
      <c r="G37" s="12"/>
      <c r="H37" s="12"/>
      <c r="I37" s="12"/>
      <c r="J37" s="12"/>
      <c r="K37" s="12"/>
      <c r="L37" s="12"/>
      <c r="M37" s="12"/>
      <c r="N37" s="12"/>
      <c r="O37" s="12"/>
    </row>
    <row r="38" spans="1:16" s="5" customFormat="1" ht="12">
      <c r="A38" s="78">
        <v>1</v>
      </c>
      <c r="B38" s="363" t="s">
        <v>195</v>
      </c>
      <c r="C38" s="363" t="s">
        <v>196</v>
      </c>
      <c r="D38" s="81" t="s">
        <v>3</v>
      </c>
      <c r="E38" s="84">
        <f>SUM(F38:O38)-SMALL(F38:O38,2)-MIN(F38:O38)</f>
        <v>600</v>
      </c>
      <c r="F38" s="289">
        <f>_xlfn.IFERROR(VLOOKUP($P38,'Rd1 PI'!$C$2:$AC$21,17,0),0)</f>
        <v>0</v>
      </c>
      <c r="G38" s="75">
        <f>_xlfn.IFERROR(VLOOKUP($P38,'Rd2 Winton'!$C$2:$AC$24,17,0),0)</f>
        <v>100</v>
      </c>
      <c r="H38" s="75">
        <f>_xlfn.IFERROR(VLOOKUP($P38,'Rd3 Winton IC'!$C$2:$AC$56,17,0),0)</f>
        <v>100</v>
      </c>
      <c r="I38" s="505">
        <f>_xlfn.IFERROR(VLOOKUP($P38,'Rd4 Sandown'!$C$2:$AC$30,17,0),0)</f>
        <v>100</v>
      </c>
      <c r="J38" s="505">
        <f>_xlfn.IFERROR(VLOOKUP($P38,'Rd5 Winton'!$C$2:$AC$29,17,0),0)</f>
        <v>100</v>
      </c>
      <c r="K38" s="505">
        <f>_xlfn.IFERROR(VLOOKUP($P38,'Rd6 PI'!$C$2:$AC$29,17,0),0)</f>
        <v>100</v>
      </c>
      <c r="L38" s="648">
        <f>_xlfn.IFERROR(VLOOKUP($P38,'Rd7 Winton'!$C$2:$AC$29,17,0),0)</f>
        <v>100</v>
      </c>
      <c r="M38" s="75">
        <f>_xlfn.IFERROR(VLOOKUP($P38,#REF!,17,0),0)</f>
        <v>0</v>
      </c>
      <c r="N38" s="75">
        <f>_xlfn.IFERROR(VLOOKUP($P38,#REF!,17,0),0)</f>
        <v>0</v>
      </c>
      <c r="O38" s="75">
        <f>_xlfn.IFERROR(VLOOKUP($P38,#REF!,17,0),0)</f>
        <v>0</v>
      </c>
      <c r="P38" s="5" t="str">
        <f>CONCATENATE(LOWER(B38)," ",LOWER(C38))</f>
        <v>kutay dal</v>
      </c>
    </row>
    <row r="39" spans="1:16" s="5" customFormat="1" ht="12">
      <c r="A39" s="78">
        <v>2</v>
      </c>
      <c r="B39" s="363" t="s">
        <v>368</v>
      </c>
      <c r="C39" s="363" t="s">
        <v>369</v>
      </c>
      <c r="D39" s="81" t="s">
        <v>3</v>
      </c>
      <c r="E39" s="85">
        <f>SUM(F39:O39)-SMALL(F39:O39,2)-MIN(F39:O39)</f>
        <v>150</v>
      </c>
      <c r="F39" s="289">
        <f>_xlfn.IFERROR(VLOOKUP($P39,'Rd1 PI'!$C$2:$AC$21,17,0),0)</f>
        <v>0</v>
      </c>
      <c r="G39" s="75">
        <f>_xlfn.IFERROR(VLOOKUP($P39,'Rd2 Winton'!$C$2:$AC$24,17,0),0)</f>
        <v>0</v>
      </c>
      <c r="H39" s="505">
        <f>_xlfn.IFERROR(VLOOKUP($P39,'Rd3 Winton IC'!$C$2:$AC$56,17,0),0)</f>
        <v>75</v>
      </c>
      <c r="I39" s="505">
        <f>_xlfn.IFERROR(VLOOKUP($P39,'Rd4 Sandown'!$C$2:$AC$30,17,0),0)</f>
        <v>0</v>
      </c>
      <c r="J39" s="505">
        <f>_xlfn.IFERROR(VLOOKUP($P39,'Rd5 Winton'!$C$2:$AC$29,17,0),0)</f>
        <v>0</v>
      </c>
      <c r="K39" s="505">
        <f>_xlfn.IFERROR(VLOOKUP($P39,'Rd6 PI'!$C$2:$AC$29,17,0),0)</f>
        <v>0</v>
      </c>
      <c r="L39" s="648">
        <f>_xlfn.IFERROR(VLOOKUP($P39,'Rd7 Winton'!$C$2:$AC$29,17,0),0)</f>
        <v>75</v>
      </c>
      <c r="M39" s="75">
        <f>_xlfn.IFERROR(VLOOKUP($P39,#REF!,17,0),0)</f>
        <v>0</v>
      </c>
      <c r="N39" s="75">
        <f>_xlfn.IFERROR(VLOOKUP($P39,#REF!,17,0),0)</f>
        <v>0</v>
      </c>
      <c r="O39" s="75">
        <f>_xlfn.IFERROR(VLOOKUP($P39,#REF!,17,0),0)</f>
        <v>0</v>
      </c>
      <c r="P39" s="5" t="str">
        <f>CONCATENATE(LOWER(B39)," ",LOWER(C39))</f>
        <v>daryl ervine</v>
      </c>
    </row>
    <row r="40" spans="1:16" s="5" customFormat="1" ht="12">
      <c r="A40" s="78">
        <v>3</v>
      </c>
      <c r="B40" s="79"/>
      <c r="C40" s="79"/>
      <c r="D40" s="81" t="s">
        <v>3</v>
      </c>
      <c r="E40" s="85">
        <f>SUM(F40:O40)-SMALL(F40:O40,2)-MIN(F40:O40)</f>
        <v>0</v>
      </c>
      <c r="F40" s="289">
        <f>_xlfn.IFERROR(VLOOKUP($P40,'Rd1 PI'!$C$2:$AC$21,17,0),0)</f>
        <v>0</v>
      </c>
      <c r="G40" s="75">
        <f>_xlfn.IFERROR(VLOOKUP($P40,'Rd2 Winton'!$C$2:$AC$24,17,0),0)</f>
        <v>0</v>
      </c>
      <c r="H40" s="505">
        <f>_xlfn.IFERROR(VLOOKUP($P40,'Rd3 Winton IC'!$C$2:$AC$56,17,0),0)</f>
        <v>0</v>
      </c>
      <c r="I40" s="505">
        <f>_xlfn.IFERROR(VLOOKUP($P40,'Rd4 Sandown'!$C$2:$AC$30,17,0),0)</f>
        <v>0</v>
      </c>
      <c r="J40" s="505">
        <f>_xlfn.IFERROR(VLOOKUP($P40,'Rd5 Winton'!$C$2:$AC$29,17,0),0)</f>
        <v>0</v>
      </c>
      <c r="K40" s="505">
        <f>_xlfn.IFERROR(VLOOKUP($P40,'Rd6 PI'!$C$2:$AC$29,17,0),0)</f>
        <v>0</v>
      </c>
      <c r="L40" s="648">
        <f>_xlfn.IFERROR(VLOOKUP($P40,'Rd7 Winton'!$C$2:$AC$29,17,0),0)</f>
        <v>0</v>
      </c>
      <c r="M40" s="75">
        <f>_xlfn.IFERROR(VLOOKUP($P40,#REF!,17,0),0)</f>
        <v>0</v>
      </c>
      <c r="N40" s="75">
        <f>_xlfn.IFERROR(VLOOKUP($P40,#REF!,17,0),0)</f>
        <v>0</v>
      </c>
      <c r="O40" s="75">
        <f>_xlfn.IFERROR(VLOOKUP($P40,#REF!,17,0),0)</f>
        <v>0</v>
      </c>
      <c r="P40" s="5" t="str">
        <f>CONCATENATE(LOWER(B40)," ",LOWER(C40))</f>
        <v> </v>
      </c>
    </row>
    <row r="41" spans="1:17" ht="12">
      <c r="A41" s="78">
        <v>4</v>
      </c>
      <c r="B41" s="79"/>
      <c r="C41" s="79"/>
      <c r="D41" s="81" t="s">
        <v>3</v>
      </c>
      <c r="E41" s="85">
        <f>SUM(F41:O41)-SMALL(F41:O41,2)-MIN(F41:O41)</f>
        <v>0</v>
      </c>
      <c r="F41" s="289">
        <f>_xlfn.IFERROR(VLOOKUP($P41,'Rd1 PI'!$C$2:$AC$21,17,0),0)</f>
        <v>0</v>
      </c>
      <c r="G41" s="75">
        <f>_xlfn.IFERROR(VLOOKUP($P41,'Rd2 Winton'!$C$2:$AC$24,17,0),0)</f>
        <v>0</v>
      </c>
      <c r="H41" s="505">
        <f>_xlfn.IFERROR(VLOOKUP($P41,'Rd3 Winton IC'!$C$2:$AC$56,17,0),0)</f>
        <v>0</v>
      </c>
      <c r="I41" s="505">
        <f>_xlfn.IFERROR(VLOOKUP($P41,'Rd4 Sandown'!$C$2:$AC$30,17,0),0)</f>
        <v>0</v>
      </c>
      <c r="J41" s="505">
        <f>_xlfn.IFERROR(VLOOKUP($P41,'Rd5 Winton'!$C$2:$AC$29,17,0),0)</f>
        <v>0</v>
      </c>
      <c r="K41" s="505">
        <f>_xlfn.IFERROR(VLOOKUP($P41,'Rd6 PI'!$C$2:$AC$29,17,0),0)</f>
        <v>0</v>
      </c>
      <c r="L41" s="648">
        <f>_xlfn.IFERROR(VLOOKUP($P41,'Rd7 Winton'!$C$2:$AC$29,17,0),0)</f>
        <v>0</v>
      </c>
      <c r="M41" s="75">
        <f>_xlfn.IFERROR(VLOOKUP($P41,#REF!,17,0),0)</f>
        <v>0</v>
      </c>
      <c r="N41" s="75">
        <f>_xlfn.IFERROR(VLOOKUP($P41,#REF!,17,0),0)</f>
        <v>0</v>
      </c>
      <c r="O41" s="75">
        <f>_xlfn.IFERROR(VLOOKUP($P41,#REF!,17,0),0)</f>
        <v>0</v>
      </c>
      <c r="P41" s="5" t="str">
        <f>CONCATENATE(LOWER(B41)," ",LOWER(C41))</f>
        <v> </v>
      </c>
      <c r="Q41" s="15"/>
    </row>
    <row r="42" spans="1:17" ht="12.75" thickBot="1">
      <c r="A42" s="80">
        <v>5</v>
      </c>
      <c r="B42" s="74"/>
      <c r="C42" s="74"/>
      <c r="D42" s="81" t="s">
        <v>3</v>
      </c>
      <c r="E42" s="86">
        <f>SUM(F42:O42)-SMALL(F42:O42,2)-MIN(F42:O42)</f>
        <v>0</v>
      </c>
      <c r="F42" s="289">
        <f>_xlfn.IFERROR(VLOOKUP($P42,'Rd1 PI'!$C$2:$AC$21,17,0),0)</f>
        <v>0</v>
      </c>
      <c r="G42" s="75">
        <f>_xlfn.IFERROR(VLOOKUP($P42,'Rd2 Winton'!$C$2:$AC$24,17,0),0)</f>
        <v>0</v>
      </c>
      <c r="H42" s="505">
        <f>_xlfn.IFERROR(VLOOKUP($P42,'Rd3 Winton IC'!$C$2:$AC$56,17,0),0)</f>
        <v>0</v>
      </c>
      <c r="I42" s="505">
        <f>_xlfn.IFERROR(VLOOKUP($P42,'Rd4 Sandown'!$C$2:$AC$30,17,0),0)</f>
        <v>0</v>
      </c>
      <c r="J42" s="505">
        <f>_xlfn.IFERROR(VLOOKUP($P42,'Rd5 Winton'!$C$2:$AC$29,17,0),0)</f>
        <v>0</v>
      </c>
      <c r="K42" s="505">
        <f>_xlfn.IFERROR(VLOOKUP($P42,'Rd6 PI'!$C$2:$AC$29,17,0),0)</f>
        <v>0</v>
      </c>
      <c r="L42" s="648">
        <f>_xlfn.IFERROR(VLOOKUP($P42,'Rd7 Winton'!$C$2:$AC$29,17,0),0)</f>
        <v>0</v>
      </c>
      <c r="M42" s="75">
        <f>_xlfn.IFERROR(VLOOKUP($P42,#REF!,17,0),0)</f>
        <v>0</v>
      </c>
      <c r="N42" s="75">
        <f>_xlfn.IFERROR(VLOOKUP($P42,#REF!,17,0),0)</f>
        <v>0</v>
      </c>
      <c r="O42" s="75">
        <f>_xlfn.IFERROR(VLOOKUP($P42,#REF!,17,0),0)</f>
        <v>0</v>
      </c>
      <c r="P42" s="5" t="str">
        <f>CONCATENATE(LOWER(B42)," ",LOWER(C42))</f>
        <v> </v>
      </c>
      <c r="Q42" s="15"/>
    </row>
    <row r="43" spans="2:17" ht="12">
      <c r="B43" s="6"/>
      <c r="C43" s="6"/>
      <c r="D43" s="17"/>
      <c r="E43" s="24"/>
      <c r="F43" s="4"/>
      <c r="G43" s="4"/>
      <c r="H43" s="4"/>
      <c r="I43" s="4"/>
      <c r="J43" s="12"/>
      <c r="K43" s="12"/>
      <c r="L43" s="4"/>
      <c r="M43" s="4"/>
      <c r="N43" s="4"/>
      <c r="O43" s="4"/>
      <c r="P43" s="14"/>
      <c r="Q43" s="15"/>
    </row>
    <row r="44" spans="1:15" s="5" customFormat="1" ht="12.75" thickBot="1">
      <c r="A44" s="53" t="s">
        <v>8</v>
      </c>
      <c r="B44" s="54"/>
      <c r="C44" s="54"/>
      <c r="D44" s="7"/>
      <c r="E44" s="24"/>
      <c r="F44" s="4"/>
      <c r="G44" s="4"/>
      <c r="H44" s="4"/>
      <c r="I44" s="4"/>
      <c r="J44" s="12"/>
      <c r="K44" s="12"/>
      <c r="L44" s="4"/>
      <c r="M44" s="4"/>
      <c r="N44" s="4"/>
      <c r="O44" s="4"/>
    </row>
    <row r="45" spans="1:16" s="5" customFormat="1" ht="12">
      <c r="A45" s="55">
        <v>1</v>
      </c>
      <c r="B45" s="56" t="s">
        <v>57</v>
      </c>
      <c r="C45" s="56" t="s">
        <v>58</v>
      </c>
      <c r="D45" s="52" t="s">
        <v>5</v>
      </c>
      <c r="E45" s="87">
        <f aca="true" t="shared" si="0" ref="E45:E51">SUM(F45:O45)-SMALL(F45:O45,2)-MIN(F45:O45)</f>
        <v>575</v>
      </c>
      <c r="F45" s="165">
        <f>_xlfn.IFERROR(VLOOKUP($P45,'Rd1 PI'!$C$2:$AC$21,17,0),0)</f>
        <v>100</v>
      </c>
      <c r="G45" s="51">
        <f>_xlfn.IFERROR(VLOOKUP($P45,'Rd2 Winton'!$C$2:$AC$24,17,0),0)</f>
        <v>100</v>
      </c>
      <c r="H45" s="504">
        <f>_xlfn.IFERROR(VLOOKUP($P45,'Rd3 Winton IC'!$C$2:$AC$56,17,0),0)</f>
        <v>100</v>
      </c>
      <c r="I45" s="504">
        <f>_xlfn.IFERROR(VLOOKUP($P45,'Rd4 Sandown'!$C$2:$AC$30,17,0),0)</f>
        <v>75</v>
      </c>
      <c r="J45" s="504">
        <f>_xlfn.IFERROR(VLOOKUP($P45,'Rd5 Winton'!$C$2:$AC$29,17,0),0)</f>
        <v>100</v>
      </c>
      <c r="K45" s="504">
        <f>_xlfn.IFERROR(VLOOKUP($P45,'Rd6 PI'!$C$2:$AC$29,17,0),0)</f>
        <v>100</v>
      </c>
      <c r="L45" s="647">
        <f>_xlfn.IFERROR(VLOOKUP($P45,'Rd7 Winton'!$C$2:$AC$29,17,0),0)</f>
        <v>0</v>
      </c>
      <c r="M45" s="51">
        <f>_xlfn.IFERROR(VLOOKUP($P45,#REF!,17,0),0)</f>
        <v>0</v>
      </c>
      <c r="N45" s="51">
        <f>_xlfn.IFERROR(VLOOKUP($P45,#REF!,17,0),0)</f>
        <v>0</v>
      </c>
      <c r="O45" s="51">
        <f>_xlfn.IFERROR(VLOOKUP($P45,#REF!,17,0),0)</f>
        <v>0</v>
      </c>
      <c r="P45" s="5" t="str">
        <f aca="true" t="shared" si="1" ref="P45:P51">CONCATENATE(LOWER(B45)," ",LOWER(C45))</f>
        <v>steve williamsz</v>
      </c>
    </row>
    <row r="46" spans="1:17" ht="12">
      <c r="A46" s="55">
        <v>2</v>
      </c>
      <c r="B46" s="56" t="s">
        <v>33</v>
      </c>
      <c r="C46" s="56" t="s">
        <v>34</v>
      </c>
      <c r="D46" s="52" t="s">
        <v>5</v>
      </c>
      <c r="E46" s="88">
        <f t="shared" si="0"/>
        <v>530</v>
      </c>
      <c r="F46" s="165">
        <f>_xlfn.IFERROR(VLOOKUP($P46,'Rd1 PI'!$C$2:$AC$21,17,0),0)</f>
        <v>60</v>
      </c>
      <c r="G46" s="51">
        <f>_xlfn.IFERROR(VLOOKUP($P46,'Rd2 Winton'!$C$2:$AC$24,17,0),0)</f>
        <v>75</v>
      </c>
      <c r="H46" s="504">
        <f>_xlfn.IFERROR(VLOOKUP($P46,'Rd3 Winton IC'!$C$2:$AC$56,17,0),0)</f>
        <v>60</v>
      </c>
      <c r="I46" s="504">
        <f>_xlfn.IFERROR(VLOOKUP($P46,'Rd4 Sandown'!$C$2:$AC$30,17,0),0)</f>
        <v>100</v>
      </c>
      <c r="J46" s="504">
        <f>_xlfn.IFERROR(VLOOKUP($P46,'Rd5 Winton'!$C$2:$AC$29,17,0),0)</f>
        <v>75</v>
      </c>
      <c r="K46" s="504">
        <f>_xlfn.IFERROR(VLOOKUP($P46,'Rd6 PI'!$C$2:$AC$29,17,0),0)</f>
        <v>60</v>
      </c>
      <c r="L46" s="647">
        <f>_xlfn.IFERROR(VLOOKUP($P46,'Rd7 Winton'!$C$2:$AC$29,17,0),0)</f>
        <v>100</v>
      </c>
      <c r="M46" s="51">
        <f>_xlfn.IFERROR(VLOOKUP($P46,#REF!,17,0),0)</f>
        <v>0</v>
      </c>
      <c r="N46" s="51">
        <f>_xlfn.IFERROR(VLOOKUP($P46,#REF!,17,0),0)</f>
        <v>0</v>
      </c>
      <c r="O46" s="51">
        <f>_xlfn.IFERROR(VLOOKUP($P46,#REF!,17,0),0)</f>
        <v>0</v>
      </c>
      <c r="P46" s="5" t="str">
        <f t="shared" si="1"/>
        <v>simeon ouzas</v>
      </c>
      <c r="Q46" s="15"/>
    </row>
    <row r="47" spans="1:17" ht="12">
      <c r="A47" s="55">
        <v>3</v>
      </c>
      <c r="B47" s="56" t="s">
        <v>81</v>
      </c>
      <c r="C47" s="56" t="s">
        <v>66</v>
      </c>
      <c r="D47" s="52" t="s">
        <v>5</v>
      </c>
      <c r="E47" s="88">
        <f t="shared" si="0"/>
        <v>405</v>
      </c>
      <c r="F47" s="165">
        <f>_xlfn.IFERROR(VLOOKUP($P47,'Rd1 PI'!$C$2:$AC$21,17,0),0)</f>
        <v>75</v>
      </c>
      <c r="G47" s="51">
        <f>_xlfn.IFERROR(VLOOKUP($P47,'Rd2 Winton'!$C$2:$AC$24,17,0),0)</f>
        <v>60</v>
      </c>
      <c r="H47" s="504">
        <f>_xlfn.IFERROR(VLOOKUP($P47,'Rd3 Winton IC'!$C$2:$AC$56,17,0),0)</f>
        <v>75</v>
      </c>
      <c r="I47" s="504">
        <f>_xlfn.IFERROR(VLOOKUP($P47,'Rd4 Sandown'!$C$2:$AC$30,17,0),0)</f>
        <v>60</v>
      </c>
      <c r="J47" s="504">
        <f>_xlfn.IFERROR(VLOOKUP($P47,'Rd5 Winton'!$C$2:$AC$29,17,0),0)</f>
        <v>60</v>
      </c>
      <c r="K47" s="504">
        <f>_xlfn.IFERROR(VLOOKUP($P47,'Rd6 PI'!$C$2:$AC$29,17,0),0)</f>
        <v>75</v>
      </c>
      <c r="L47" s="647">
        <f>_xlfn.IFERROR(VLOOKUP($P47,'Rd7 Winton'!$C$2:$AC$29,17,0),0)</f>
        <v>0</v>
      </c>
      <c r="M47" s="51">
        <f>_xlfn.IFERROR(VLOOKUP($P47,#REF!,17,0),0)</f>
        <v>0</v>
      </c>
      <c r="N47" s="51">
        <f>_xlfn.IFERROR(VLOOKUP($P47,#REF!,17,0),0)</f>
        <v>0</v>
      </c>
      <c r="O47" s="51">
        <f>_xlfn.IFERROR(VLOOKUP($P47,#REF!,17,0),0)</f>
        <v>0</v>
      </c>
      <c r="P47" s="5" t="str">
        <f t="shared" si="1"/>
        <v>john downes</v>
      </c>
      <c r="Q47" s="15"/>
    </row>
    <row r="48" spans="1:17" ht="12">
      <c r="A48" s="55">
        <v>4</v>
      </c>
      <c r="B48" s="56" t="s">
        <v>147</v>
      </c>
      <c r="C48" s="56" t="s">
        <v>148</v>
      </c>
      <c r="D48" s="52" t="s">
        <v>5</v>
      </c>
      <c r="E48" s="88">
        <f t="shared" si="0"/>
        <v>135</v>
      </c>
      <c r="F48" s="165">
        <f>_xlfn.IFERROR(VLOOKUP($P48,'Rd1 PI'!$C$2:$AC$21,17,0),0)</f>
        <v>45</v>
      </c>
      <c r="G48" s="51">
        <f>_xlfn.IFERROR(VLOOKUP($P48,'Rd2 Winton'!$C$2:$AC$24,17,0),0)</f>
        <v>45</v>
      </c>
      <c r="H48" s="504">
        <f>_xlfn.IFERROR(VLOOKUP($P48,'Rd3 Winton IC'!$C$2:$AC$56,17,0),0)</f>
        <v>0</v>
      </c>
      <c r="I48" s="504">
        <f>_xlfn.IFERROR(VLOOKUP($P48,'Rd4 Sandown'!$C$2:$AC$30,17,0),0)</f>
        <v>45</v>
      </c>
      <c r="J48" s="504">
        <f>_xlfn.IFERROR(VLOOKUP($P48,'Rd5 Winton'!$C$2:$AC$29,17,0),0)</f>
        <v>0</v>
      </c>
      <c r="K48" s="504">
        <f>_xlfn.IFERROR(VLOOKUP($P48,'Rd6 PI'!$C$2:$AC$29,17,0),0)</f>
        <v>0</v>
      </c>
      <c r="L48" s="647">
        <f>_xlfn.IFERROR(VLOOKUP($P48,'Rd7 Winton'!$C$2:$AC$29,17,0),0)</f>
        <v>0</v>
      </c>
      <c r="M48" s="51">
        <f>_xlfn.IFERROR(VLOOKUP($P48,#REF!,17,0),0)</f>
        <v>0</v>
      </c>
      <c r="N48" s="51">
        <f>_xlfn.IFERROR(VLOOKUP($P48,#REF!,17,0),0)</f>
        <v>0</v>
      </c>
      <c r="O48" s="51">
        <f>_xlfn.IFERROR(VLOOKUP($P48,#REF!,17,0),0)</f>
        <v>0</v>
      </c>
      <c r="P48" s="5" t="str">
        <f t="shared" si="1"/>
        <v>matthew cavell</v>
      </c>
      <c r="Q48" s="15"/>
    </row>
    <row r="49" spans="1:17" ht="12">
      <c r="A49" s="55">
        <v>5</v>
      </c>
      <c r="B49" s="56" t="s">
        <v>512</v>
      </c>
      <c r="C49" s="56" t="s">
        <v>513</v>
      </c>
      <c r="D49" s="52" t="s">
        <v>5</v>
      </c>
      <c r="E49" s="88">
        <f t="shared" si="0"/>
        <v>75</v>
      </c>
      <c r="F49" s="165">
        <f>_xlfn.IFERROR(VLOOKUP($P49,'Rd1 PI'!$C$2:$AC$21,17,0),0)</f>
        <v>0</v>
      </c>
      <c r="G49" s="51">
        <f>_xlfn.IFERROR(VLOOKUP($P49,'Rd2 Winton'!$C$2:$AC$24,17,0),0)</f>
        <v>0</v>
      </c>
      <c r="H49" s="504">
        <f>_xlfn.IFERROR(VLOOKUP($P49,'Rd3 Winton IC'!$C$2:$AC$56,17,0),0)</f>
        <v>0</v>
      </c>
      <c r="I49" s="504">
        <f>_xlfn.IFERROR(VLOOKUP($P49,'Rd4 Sandown'!$C$2:$AC$30,17,0),0)</f>
        <v>0</v>
      </c>
      <c r="J49" s="504">
        <f>_xlfn.IFERROR(VLOOKUP($P49,'Rd5 Winton'!$C$2:$AC$29,17,0),0)</f>
        <v>0</v>
      </c>
      <c r="K49" s="504">
        <f>_xlfn.IFERROR(VLOOKUP($P49,'Rd6 PI'!$C$2:$AC$29,17,0),0)</f>
        <v>0</v>
      </c>
      <c r="L49" s="647">
        <f>_xlfn.IFERROR(VLOOKUP($P49,'Rd7 Winton'!$C$2:$AC$29,17,0),0)</f>
        <v>75</v>
      </c>
      <c r="M49" s="51">
        <f>_xlfn.IFERROR(VLOOKUP($P49,#REF!,17,0),0)</f>
        <v>0</v>
      </c>
      <c r="N49" s="51">
        <f>_xlfn.IFERROR(VLOOKUP($P49,#REF!,17,0),0)</f>
        <v>0</v>
      </c>
      <c r="O49" s="51">
        <f>_xlfn.IFERROR(VLOOKUP($P49,#REF!,17,0),0)</f>
        <v>0</v>
      </c>
      <c r="P49" s="5" t="str">
        <f t="shared" si="1"/>
        <v>stuart dawson</v>
      </c>
      <c r="Q49" s="15"/>
    </row>
    <row r="50" spans="1:17" ht="12">
      <c r="A50" s="55">
        <v>6</v>
      </c>
      <c r="B50" s="56"/>
      <c r="C50" s="56"/>
      <c r="D50" s="52" t="s">
        <v>5</v>
      </c>
      <c r="E50" s="88">
        <f t="shared" si="0"/>
        <v>0</v>
      </c>
      <c r="F50" s="165">
        <f>_xlfn.IFERROR(VLOOKUP($P50,'Rd1 PI'!$C$2:$AC$21,17,0),0)</f>
        <v>0</v>
      </c>
      <c r="G50" s="51">
        <f>_xlfn.IFERROR(VLOOKUP($P50,'Rd2 Winton'!$C$2:$AC$24,17,0),0)</f>
        <v>0</v>
      </c>
      <c r="H50" s="504">
        <f>_xlfn.IFERROR(VLOOKUP($P50,'Rd3 Winton IC'!$C$2:$AC$56,17,0),0)</f>
        <v>0</v>
      </c>
      <c r="I50" s="504">
        <f>_xlfn.IFERROR(VLOOKUP($P50,'Rd4 Sandown'!$C$2:$AC$30,17,0),0)</f>
        <v>0</v>
      </c>
      <c r="J50" s="504">
        <f>_xlfn.IFERROR(VLOOKUP($P50,'Rd5 Winton'!$C$2:$AC$29,17,0),0)</f>
        <v>0</v>
      </c>
      <c r="K50" s="504">
        <f>_xlfn.IFERROR(VLOOKUP($P50,'Rd6 PI'!$C$2:$AC$29,17,0),0)</f>
        <v>0</v>
      </c>
      <c r="L50" s="647">
        <f>_xlfn.IFERROR(VLOOKUP($P50,'Rd7 Winton'!$C$2:$AC$29,17,0),0)</f>
        <v>0</v>
      </c>
      <c r="M50" s="51">
        <f>_xlfn.IFERROR(VLOOKUP($P50,#REF!,17,0),0)</f>
        <v>0</v>
      </c>
      <c r="N50" s="51">
        <f>_xlfn.IFERROR(VLOOKUP($P50,#REF!,17,0),0)</f>
        <v>0</v>
      </c>
      <c r="O50" s="51">
        <f>_xlfn.IFERROR(VLOOKUP($P50,#REF!,17,0),0)</f>
        <v>0</v>
      </c>
      <c r="P50" s="5" t="str">
        <f t="shared" si="1"/>
        <v> </v>
      </c>
      <c r="Q50" s="15"/>
    </row>
    <row r="51" spans="1:17" ht="12.75" thickBot="1">
      <c r="A51" s="55">
        <v>7</v>
      </c>
      <c r="B51" s="56"/>
      <c r="C51" s="56"/>
      <c r="D51" s="52" t="s">
        <v>5</v>
      </c>
      <c r="E51" s="89">
        <f t="shared" si="0"/>
        <v>0</v>
      </c>
      <c r="F51" s="165">
        <f>_xlfn.IFERROR(VLOOKUP($P51,'Rd1 PI'!$C$2:$AC$21,17,0),0)</f>
        <v>0</v>
      </c>
      <c r="G51" s="51">
        <f>_xlfn.IFERROR(VLOOKUP($P51,'Rd2 Winton'!$C$2:$AC$24,17,0),0)</f>
        <v>0</v>
      </c>
      <c r="H51" s="504">
        <f>_xlfn.IFERROR(VLOOKUP($P51,'Rd3 Winton IC'!$C$2:$AC$56,17,0),0)</f>
        <v>0</v>
      </c>
      <c r="I51" s="504">
        <f>_xlfn.IFERROR(VLOOKUP($P51,'Rd4 Sandown'!$C$2:$AC$30,17,0),0)</f>
        <v>0</v>
      </c>
      <c r="J51" s="504">
        <f>_xlfn.IFERROR(VLOOKUP($P51,'Rd5 Winton'!$C$2:$AC$29,17,0),0)</f>
        <v>0</v>
      </c>
      <c r="K51" s="504">
        <f>_xlfn.IFERROR(VLOOKUP($P51,'Rd6 PI'!$C$2:$AC$29,17,0),0)</f>
        <v>0</v>
      </c>
      <c r="L51" s="647">
        <f>_xlfn.IFERROR(VLOOKUP($P51,'Rd7 Winton'!$C$2:$AC$29,17,0),0)</f>
        <v>0</v>
      </c>
      <c r="M51" s="51">
        <f>_xlfn.IFERROR(VLOOKUP($P51,#REF!,17,0),0)</f>
        <v>0</v>
      </c>
      <c r="N51" s="51">
        <f>_xlfn.IFERROR(VLOOKUP($P51,#REF!,17,0),0)</f>
        <v>0</v>
      </c>
      <c r="O51" s="51">
        <f>_xlfn.IFERROR(VLOOKUP($P51,#REF!,17,0),0)</f>
        <v>0</v>
      </c>
      <c r="P51" s="5" t="str">
        <f t="shared" si="1"/>
        <v> </v>
      </c>
      <c r="Q51" s="15"/>
    </row>
    <row r="52" spans="2:17" ht="12">
      <c r="B52" s="18"/>
      <c r="C52" s="18"/>
      <c r="D52" s="19"/>
      <c r="E52" s="24"/>
      <c r="F52" s="4"/>
      <c r="G52" s="4"/>
      <c r="H52" s="4"/>
      <c r="I52" s="4"/>
      <c r="J52" s="4"/>
      <c r="K52" s="4"/>
      <c r="L52" s="4"/>
      <c r="M52" s="4"/>
      <c r="N52" s="4"/>
      <c r="O52" s="4"/>
      <c r="P52" s="14"/>
      <c r="Q52" s="15"/>
    </row>
    <row r="53" spans="1:17" ht="12.75" thickBot="1">
      <c r="A53" s="150" t="s">
        <v>9</v>
      </c>
      <c r="B53" s="151"/>
      <c r="C53" s="151"/>
      <c r="D53" s="15"/>
      <c r="E53" s="24"/>
      <c r="F53" s="4"/>
      <c r="G53" s="4"/>
      <c r="H53" s="4"/>
      <c r="I53" s="4"/>
      <c r="J53" s="4"/>
      <c r="K53" s="4"/>
      <c r="L53" s="4"/>
      <c r="M53" s="4"/>
      <c r="N53" s="4"/>
      <c r="O53" s="4"/>
      <c r="P53" s="14"/>
      <c r="Q53" s="15"/>
    </row>
    <row r="54" spans="1:17" ht="12">
      <c r="A54" s="141">
        <v>1</v>
      </c>
      <c r="B54" s="142" t="s">
        <v>65</v>
      </c>
      <c r="C54" s="291" t="s">
        <v>66</v>
      </c>
      <c r="D54" s="146" t="s">
        <v>4</v>
      </c>
      <c r="E54" s="138">
        <f>SUM(F54:O54)-SMALL(F54:O54,2)-MIN(F54:O54)</f>
        <v>475</v>
      </c>
      <c r="F54" s="287">
        <f>_xlfn.IFERROR(VLOOKUP($P54,'Rd1 PI'!$C$2:$AC$21,17,0),0)</f>
        <v>100</v>
      </c>
      <c r="G54" s="139">
        <f>_xlfn.IFERROR(VLOOKUP($P54,'Rd2 Winton'!$C$2:$AC$24,17,0),0)</f>
        <v>100</v>
      </c>
      <c r="H54" s="503">
        <f>_xlfn.IFERROR(VLOOKUP($P54,'Rd3 Winton IC'!$C$2:$AC$56,17,0),0)</f>
        <v>100</v>
      </c>
      <c r="I54" s="503">
        <f>_xlfn.IFERROR(VLOOKUP($P54,'Rd4 Sandown'!$C$2:$AC$30,17,0),0)</f>
        <v>75</v>
      </c>
      <c r="J54" s="503">
        <f>_xlfn.IFERROR(VLOOKUP($P54,'Rd5 Winton'!$C$2:$AC$29,17,0),0)</f>
        <v>0</v>
      </c>
      <c r="K54" s="503">
        <f>_xlfn.IFERROR(VLOOKUP($P54,'Rd6 PI'!$C$2:$AC$29,17,0),0)</f>
        <v>0</v>
      </c>
      <c r="L54" s="646">
        <f>_xlfn.IFERROR(VLOOKUP($P54,'Rd7 Winton'!$C$2:$AC$29,17,0),0)</f>
        <v>100</v>
      </c>
      <c r="M54" s="139">
        <f>_xlfn.IFERROR(VLOOKUP($P54,#REF!,17,0),0)</f>
        <v>0</v>
      </c>
      <c r="N54" s="139">
        <f>_xlfn.IFERROR(VLOOKUP($P54,#REF!,17,0),0)</f>
        <v>0</v>
      </c>
      <c r="O54" s="139">
        <f>_xlfn.IFERROR(VLOOKUP($P54,#REF!,17,0),0)</f>
        <v>0</v>
      </c>
      <c r="P54" s="5" t="str">
        <f>CONCATENATE(LOWER(B54)," ",LOWER(C54))</f>
        <v>robert downes</v>
      </c>
      <c r="Q54" s="15"/>
    </row>
    <row r="55" spans="1:17" ht="12">
      <c r="A55" s="141">
        <v>2</v>
      </c>
      <c r="B55" s="147" t="s">
        <v>193</v>
      </c>
      <c r="C55" s="147" t="s">
        <v>194</v>
      </c>
      <c r="D55" s="146" t="s">
        <v>4</v>
      </c>
      <c r="E55" s="140">
        <f>SUM(F55:O55)-SMALL(F55:O55,2)-MIN(F55:O55)</f>
        <v>210</v>
      </c>
      <c r="F55" s="287">
        <f>_xlfn.IFERROR(VLOOKUP($P55,'Rd1 PI'!$C$2:$AC$21,17,0),0)</f>
        <v>0</v>
      </c>
      <c r="G55" s="139">
        <f>_xlfn.IFERROR(VLOOKUP($P55,'Rd2 Winton'!$C$2:$AC$24,17,0),0)</f>
        <v>75</v>
      </c>
      <c r="H55" s="503">
        <f>_xlfn.IFERROR(VLOOKUP($P55,'Rd3 Winton IC'!$C$2:$AC$56,17,0),0)</f>
        <v>0</v>
      </c>
      <c r="I55" s="503">
        <f>_xlfn.IFERROR(VLOOKUP($P55,'Rd4 Sandown'!$C$2:$AC$30,17,0),0)</f>
        <v>60</v>
      </c>
      <c r="J55" s="503">
        <f>_xlfn.IFERROR(VLOOKUP($P55,'Rd5 Winton'!$C$2:$AC$29,17,0),0)</f>
        <v>0</v>
      </c>
      <c r="K55" s="503">
        <f>_xlfn.IFERROR(VLOOKUP($P55,'Rd6 PI'!$C$2:$AC$29,17,0),0)</f>
        <v>75</v>
      </c>
      <c r="L55" s="646">
        <f>_xlfn.IFERROR(VLOOKUP($P55,'Rd7 Winton'!$C$2:$AC$29,17,0),0)</f>
        <v>0</v>
      </c>
      <c r="M55" s="139">
        <f>_xlfn.IFERROR(VLOOKUP($P55,#REF!,17,0),0)</f>
        <v>0</v>
      </c>
      <c r="N55" s="139">
        <f>_xlfn.IFERROR(VLOOKUP($P55,#REF!,17,0),0)</f>
        <v>0</v>
      </c>
      <c r="O55" s="139">
        <f>_xlfn.IFERROR(VLOOKUP($P55,#REF!,17,0),0)</f>
        <v>0</v>
      </c>
      <c r="P55" s="5" t="str">
        <f>CONCATENATE(LOWER(B55)," ",LOWER(C55))</f>
        <v>ian vague</v>
      </c>
      <c r="Q55" s="15"/>
    </row>
    <row r="56" spans="1:17" ht="12">
      <c r="A56" s="141">
        <v>3</v>
      </c>
      <c r="B56" s="147" t="s">
        <v>374</v>
      </c>
      <c r="C56" s="147" t="s">
        <v>375</v>
      </c>
      <c r="D56" s="146" t="s">
        <v>4</v>
      </c>
      <c r="E56" s="140">
        <f>SUM(F56:O56)-SMALL(F56:O56,2)-MIN(F56:O56)</f>
        <v>175</v>
      </c>
      <c r="F56" s="287">
        <f>_xlfn.IFERROR(VLOOKUP($P56,'Rd1 PI'!$C$2:$AC$21,17,0),0)</f>
        <v>0</v>
      </c>
      <c r="G56" s="139">
        <f>_xlfn.IFERROR(VLOOKUP($P56,'Rd2 Winton'!$C$2:$AC$24,17,0),0)</f>
        <v>0</v>
      </c>
      <c r="H56" s="503">
        <f>_xlfn.IFERROR(VLOOKUP($P56,'Rd3 Winton IC'!$C$2:$AC$56,17,0),0)</f>
        <v>75</v>
      </c>
      <c r="I56" s="503">
        <f>_xlfn.IFERROR(VLOOKUP($P56,'Rd4 Sandown'!$C$2:$AC$30,17,0),0)</f>
        <v>0</v>
      </c>
      <c r="J56" s="503">
        <f>_xlfn.IFERROR(VLOOKUP($P56,'Rd5 Winton'!$C$2:$AC$29,17,0),0)</f>
        <v>0</v>
      </c>
      <c r="K56" s="503">
        <f>_xlfn.IFERROR(VLOOKUP($P56,'Rd6 PI'!$C$2:$AC$29,17,0),0)</f>
        <v>100</v>
      </c>
      <c r="L56" s="646">
        <f>_xlfn.IFERROR(VLOOKUP($P56,'Rd7 Winton'!$C$2:$AC$29,17,0),0)</f>
        <v>0</v>
      </c>
      <c r="M56" s="139">
        <f>_xlfn.IFERROR(VLOOKUP($P56,#REF!,17,0),0)</f>
        <v>0</v>
      </c>
      <c r="N56" s="139">
        <f>_xlfn.IFERROR(VLOOKUP($P56,#REF!,17,0),0)</f>
        <v>0</v>
      </c>
      <c r="O56" s="139">
        <f>_xlfn.IFERROR(VLOOKUP($P56,#REF!,17,0),0)</f>
        <v>0</v>
      </c>
      <c r="P56" s="5" t="str">
        <f>CONCATENATE(LOWER(B56)," ",LOWER(C56))</f>
        <v>hung do</v>
      </c>
      <c r="Q56" s="15"/>
    </row>
    <row r="57" spans="1:17" ht="12">
      <c r="A57" s="141">
        <v>4</v>
      </c>
      <c r="B57" s="147" t="s">
        <v>377</v>
      </c>
      <c r="C57" s="147" t="s">
        <v>376</v>
      </c>
      <c r="D57" s="146" t="s">
        <v>4</v>
      </c>
      <c r="E57" s="140">
        <f>SUM(F57:O57)-SMALL(F57:O57,2)-MIN(F57:O57)</f>
        <v>160</v>
      </c>
      <c r="F57" s="287">
        <f>_xlfn.IFERROR(VLOOKUP($P57,'Rd1 PI'!$C$2:$AC$21,17,0),0)</f>
        <v>0</v>
      </c>
      <c r="G57" s="139">
        <f>_xlfn.IFERROR(VLOOKUP($P57,'Rd2 Winton'!$C$2:$AC$24,17,0),0)</f>
        <v>0</v>
      </c>
      <c r="H57" s="503">
        <f>_xlfn.IFERROR(VLOOKUP($P57,'Rd3 Winton IC'!$C$2:$AC$56,17,0),0)</f>
        <v>60</v>
      </c>
      <c r="I57" s="503">
        <f>_xlfn.IFERROR(VLOOKUP($P57,'Rd4 Sandown'!$C$2:$AC$30,17,0),0)</f>
        <v>100</v>
      </c>
      <c r="J57" s="503">
        <f>_xlfn.IFERROR(VLOOKUP($P57,'Rd5 Winton'!$C$2:$AC$29,17,0),0)</f>
        <v>0</v>
      </c>
      <c r="K57" s="503">
        <f>_xlfn.IFERROR(VLOOKUP($P57,'Rd6 PI'!$C$2:$AC$29,17,0),0)</f>
        <v>0</v>
      </c>
      <c r="L57" s="646">
        <f>_xlfn.IFERROR(VLOOKUP($P57,'Rd7 Winton'!$C$2:$AC$29,17,0),0)</f>
        <v>0</v>
      </c>
      <c r="M57" s="139">
        <f>_xlfn.IFERROR(VLOOKUP($P57,#REF!,17,0),0)</f>
        <v>0</v>
      </c>
      <c r="N57" s="139">
        <f>_xlfn.IFERROR(VLOOKUP($P57,#REF!,17,0),0)</f>
        <v>0</v>
      </c>
      <c r="O57" s="139">
        <f>_xlfn.IFERROR(VLOOKUP($P57,#REF!,17,0),0)</f>
        <v>0</v>
      </c>
      <c r="P57" s="5" t="str">
        <f>CONCATENATE(LOWER(B57)," ",LOWER(C57))</f>
        <v>matt brogan</v>
      </c>
      <c r="Q57" s="15"/>
    </row>
    <row r="58" spans="1:17" ht="12.75" thickBot="1">
      <c r="A58" s="141">
        <v>5</v>
      </c>
      <c r="B58" s="137"/>
      <c r="C58" s="137"/>
      <c r="D58" s="146" t="s">
        <v>4</v>
      </c>
      <c r="E58" s="143">
        <f>SUM(F58:O58)-SMALL(F58:O58,2)-MIN(F58:O58)</f>
        <v>0</v>
      </c>
      <c r="F58" s="287">
        <f>_xlfn.IFERROR(VLOOKUP($P58,'Rd1 PI'!$C$2:$AC$21,17,0),0)</f>
        <v>0</v>
      </c>
      <c r="G58" s="139">
        <f>_xlfn.IFERROR(VLOOKUP($P58,'Rd2 Winton'!$C$2:$AC$24,17,0),0)</f>
        <v>0</v>
      </c>
      <c r="H58" s="503">
        <f>_xlfn.IFERROR(VLOOKUP($P58,'Rd3 Winton IC'!$C$2:$AC$56,17,0),0)</f>
        <v>0</v>
      </c>
      <c r="I58" s="503">
        <f>_xlfn.IFERROR(VLOOKUP($P58,'Rd4 Sandown'!$C$2:$AC$30,17,0),0)</f>
        <v>0</v>
      </c>
      <c r="J58" s="503">
        <f>_xlfn.IFERROR(VLOOKUP($P58,'Rd5 Winton'!$C$2:$AC$29,17,0),0)</f>
        <v>0</v>
      </c>
      <c r="K58" s="503">
        <f>_xlfn.IFERROR(VLOOKUP($P58,'Rd6 PI'!$C$2:$AC$29,17,0),0)</f>
        <v>0</v>
      </c>
      <c r="L58" s="646">
        <f>_xlfn.IFERROR(VLOOKUP($P58,'Rd7 Winton'!$C$2:$AC$29,17,0),0)</f>
        <v>0</v>
      </c>
      <c r="M58" s="139">
        <f>_xlfn.IFERROR(VLOOKUP($P58,#REF!,17,0),0)</f>
        <v>0</v>
      </c>
      <c r="N58" s="139">
        <f>_xlfn.IFERROR(VLOOKUP($P58,#REF!,17,0),0)</f>
        <v>0</v>
      </c>
      <c r="O58" s="139">
        <f>_xlfn.IFERROR(VLOOKUP($P58,#REF!,17,0),0)</f>
        <v>0</v>
      </c>
      <c r="P58" s="5" t="str">
        <f>CONCATENATE(LOWER(B58)," ",LOWER(C58))</f>
        <v> </v>
      </c>
      <c r="Q58" s="15"/>
    </row>
    <row r="59" spans="1:17" ht="12">
      <c r="A59" s="13"/>
      <c r="B59" s="22"/>
      <c r="C59" s="22"/>
      <c r="D59" s="23"/>
      <c r="E59" s="24"/>
      <c r="F59" s="4"/>
      <c r="G59" s="4"/>
      <c r="H59" s="4"/>
      <c r="I59" s="4"/>
      <c r="J59" s="4"/>
      <c r="K59" s="4"/>
      <c r="L59" s="4"/>
      <c r="M59" s="4"/>
      <c r="N59" s="4"/>
      <c r="O59" s="4"/>
      <c r="P59" s="14"/>
      <c r="Q59" s="15"/>
    </row>
    <row r="60" spans="1:17" ht="12.75" thickBot="1">
      <c r="A60" s="148" t="s">
        <v>20</v>
      </c>
      <c r="B60" s="149"/>
      <c r="C60" s="149"/>
      <c r="D60" s="15"/>
      <c r="E60" s="24"/>
      <c r="F60" s="4"/>
      <c r="G60" s="4"/>
      <c r="H60" s="4"/>
      <c r="I60" s="4"/>
      <c r="J60" s="4"/>
      <c r="K60" s="4"/>
      <c r="L60" s="4"/>
      <c r="M60" s="4"/>
      <c r="N60" s="4"/>
      <c r="O60" s="4"/>
      <c r="P60" s="14"/>
      <c r="Q60" s="15"/>
    </row>
    <row r="61" spans="1:17" ht="12">
      <c r="A61" s="134">
        <v>1</v>
      </c>
      <c r="B61" s="145" t="s">
        <v>191</v>
      </c>
      <c r="C61" s="163" t="s">
        <v>192</v>
      </c>
      <c r="D61" s="144" t="s">
        <v>50</v>
      </c>
      <c r="E61" s="131">
        <f>SUM(F61:O61)-SMALL(F61:O61,2)-MIN(F61:O61)</f>
        <v>500</v>
      </c>
      <c r="F61" s="167">
        <f>_xlfn.IFERROR(VLOOKUP($P61,'Rd1 PI'!$C$2:$AC$21,17,0),0)</f>
        <v>0</v>
      </c>
      <c r="G61" s="132">
        <f>_xlfn.IFERROR(VLOOKUP($P61,'Rd2 Winton'!$C$2:$AC$24,17,0),0)</f>
        <v>100</v>
      </c>
      <c r="H61" s="502">
        <f>_xlfn.IFERROR(VLOOKUP($P61,'Rd3 Winton IC'!$C$2:$AC$56,17,0),0)</f>
        <v>0</v>
      </c>
      <c r="I61" s="502">
        <f>_xlfn.IFERROR(VLOOKUP($P61,'Rd4 Sandown'!$C$2:$AC$30,17,0),0)</f>
        <v>100</v>
      </c>
      <c r="J61" s="502">
        <f>_xlfn.IFERROR(VLOOKUP($P61,'Rd5 Winton'!$C$2:$AC$29,17,0),0)</f>
        <v>100</v>
      </c>
      <c r="K61" s="502">
        <f>_xlfn.IFERROR(VLOOKUP($P61,'Rd6 PI'!$C$2:$AC$29,17,0),0)</f>
        <v>100</v>
      </c>
      <c r="L61" s="645">
        <f>_xlfn.IFERROR(VLOOKUP($P61,'Rd7 Winton'!$C$2:$AC$29,17,0),0)</f>
        <v>100</v>
      </c>
      <c r="M61" s="132">
        <f>_xlfn.IFERROR(VLOOKUP($P61,#REF!,17,0),0)</f>
        <v>0</v>
      </c>
      <c r="N61" s="132">
        <f>_xlfn.IFERROR(VLOOKUP($P61,#REF!,17,0),0)</f>
        <v>0</v>
      </c>
      <c r="O61" s="132">
        <f>_xlfn.IFERROR(VLOOKUP($P61,#REF!,17,0),0)</f>
        <v>0</v>
      </c>
      <c r="P61" s="5" t="str">
        <f>CONCATENATE(LOWER(B61)," ",LOWER(C61))</f>
        <v>david adam</v>
      </c>
      <c r="Q61" s="15"/>
    </row>
    <row r="62" spans="1:17" ht="12">
      <c r="A62" s="134">
        <v>2</v>
      </c>
      <c r="B62" s="163"/>
      <c r="C62" s="163"/>
      <c r="D62" s="144" t="s">
        <v>50</v>
      </c>
      <c r="E62" s="133">
        <f>SUM(F62:O62)-SMALL(F62:O62,2)-MIN(F62:O62)</f>
        <v>0</v>
      </c>
      <c r="F62" s="167">
        <f>_xlfn.IFERROR(VLOOKUP($P62,'Rd1 PI'!$C$2:$AC$21,17,0),0)</f>
        <v>0</v>
      </c>
      <c r="G62" s="132">
        <f>_xlfn.IFERROR(VLOOKUP($P62,'Rd2 Winton'!$C$2:$AC$24,17,0),0)</f>
        <v>0</v>
      </c>
      <c r="H62" s="502">
        <f>_xlfn.IFERROR(VLOOKUP($P62,'Rd3 Winton IC'!$C$2:$AC$56,17,0),0)</f>
        <v>0</v>
      </c>
      <c r="I62" s="502">
        <f>_xlfn.IFERROR(VLOOKUP($P62,'Rd4 Sandown'!$C$2:$AC$30,17,0),0)</f>
        <v>0</v>
      </c>
      <c r="J62" s="502">
        <f>_xlfn.IFERROR(VLOOKUP($P62,'Rd5 Winton'!$C$2:$AC$29,17,0),0)</f>
        <v>0</v>
      </c>
      <c r="K62" s="502">
        <f>_xlfn.IFERROR(VLOOKUP($P62,'Rd6 PI'!$C$2:$AC$29,17,0),0)</f>
        <v>0</v>
      </c>
      <c r="L62" s="645">
        <f>_xlfn.IFERROR(VLOOKUP($P62,'Rd7 Winton'!$C$2:$AC$29,17,0),0)</f>
        <v>0</v>
      </c>
      <c r="M62" s="132">
        <f>_xlfn.IFERROR(VLOOKUP($P62,#REF!,17,0),0)</f>
        <v>0</v>
      </c>
      <c r="N62" s="132">
        <f>_xlfn.IFERROR(VLOOKUP($P62,#REF!,17,0),0)</f>
        <v>0</v>
      </c>
      <c r="O62" s="132">
        <f>_xlfn.IFERROR(VLOOKUP($P62,#REF!,17,0),0)</f>
        <v>0</v>
      </c>
      <c r="P62" s="5" t="str">
        <f>CONCATENATE(LOWER(B62)," ",LOWER(C62))</f>
        <v> </v>
      </c>
      <c r="Q62" s="15"/>
    </row>
    <row r="63" spans="1:17" ht="12">
      <c r="A63" s="134">
        <v>3</v>
      </c>
      <c r="B63" s="130"/>
      <c r="C63" s="130"/>
      <c r="D63" s="144" t="s">
        <v>50</v>
      </c>
      <c r="E63" s="133">
        <f>SUM(F63:O63)-SMALL(F63:O63,2)-MIN(F63:O63)</f>
        <v>0</v>
      </c>
      <c r="F63" s="167">
        <f>_xlfn.IFERROR(VLOOKUP($P63,'Rd1 PI'!$C$2:$AC$21,17,0),0)</f>
        <v>0</v>
      </c>
      <c r="G63" s="132">
        <f>_xlfn.IFERROR(VLOOKUP($P63,'Rd2 Winton'!$C$2:$AC$24,17,0),0)</f>
        <v>0</v>
      </c>
      <c r="H63" s="502">
        <f>_xlfn.IFERROR(VLOOKUP($P63,'Rd3 Winton IC'!$C$2:$AC$56,17,0),0)</f>
        <v>0</v>
      </c>
      <c r="I63" s="502">
        <f>_xlfn.IFERROR(VLOOKUP($P63,'Rd4 Sandown'!$C$2:$AC$30,17,0),0)</f>
        <v>0</v>
      </c>
      <c r="J63" s="502">
        <f>_xlfn.IFERROR(VLOOKUP($P63,'Rd5 Winton'!$C$2:$AC$29,17,0),0)</f>
        <v>0</v>
      </c>
      <c r="K63" s="502">
        <f>_xlfn.IFERROR(VLOOKUP($P63,'Rd6 PI'!$C$2:$AC$29,17,0),0)</f>
        <v>0</v>
      </c>
      <c r="L63" s="645">
        <f>_xlfn.IFERROR(VLOOKUP($P63,'Rd7 Winton'!$C$2:$AC$29,17,0),0)</f>
        <v>0</v>
      </c>
      <c r="M63" s="132">
        <f>_xlfn.IFERROR(VLOOKUP($P63,#REF!,17,0),0)</f>
        <v>0</v>
      </c>
      <c r="N63" s="132">
        <f>_xlfn.IFERROR(VLOOKUP($P63,#REF!,17,0),0)</f>
        <v>0</v>
      </c>
      <c r="O63" s="132">
        <f>_xlfn.IFERROR(VLOOKUP($P63,#REF!,17,0),0)</f>
        <v>0</v>
      </c>
      <c r="P63" s="5" t="str">
        <f>CONCATENATE(LOWER(B63)," ",LOWER(C63))</f>
        <v> </v>
      </c>
      <c r="Q63" s="15"/>
    </row>
    <row r="64" spans="1:17" ht="12">
      <c r="A64" s="134">
        <v>4</v>
      </c>
      <c r="B64" s="135"/>
      <c r="C64" s="135"/>
      <c r="D64" s="144" t="s">
        <v>50</v>
      </c>
      <c r="E64" s="133">
        <f>SUM(F64:O64)-SMALL(F64:O64,2)-MIN(F64:O64)</f>
        <v>0</v>
      </c>
      <c r="F64" s="167">
        <f>_xlfn.IFERROR(VLOOKUP($P64,'Rd1 PI'!$C$2:$AC$21,17,0),0)</f>
        <v>0</v>
      </c>
      <c r="G64" s="132">
        <f>_xlfn.IFERROR(VLOOKUP($P64,'Rd2 Winton'!$C$2:$AC$24,17,0),0)</f>
        <v>0</v>
      </c>
      <c r="H64" s="502">
        <f>_xlfn.IFERROR(VLOOKUP($P64,'Rd3 Winton IC'!$C$2:$AC$56,17,0),0)</f>
        <v>0</v>
      </c>
      <c r="I64" s="502">
        <f>_xlfn.IFERROR(VLOOKUP($P64,'Rd4 Sandown'!$C$2:$AC$30,17,0),0)</f>
        <v>0</v>
      </c>
      <c r="J64" s="502">
        <f>_xlfn.IFERROR(VLOOKUP($P64,'Rd5 Winton'!$C$2:$AC$29,17,0),0)</f>
        <v>0</v>
      </c>
      <c r="K64" s="502">
        <f>_xlfn.IFERROR(VLOOKUP($P64,'Rd6 PI'!$C$2:$AC$29,17,0),0)</f>
        <v>0</v>
      </c>
      <c r="L64" s="645">
        <f>_xlfn.IFERROR(VLOOKUP($P64,'Rd7 Winton'!$C$2:$AC$29,17,0),0)</f>
        <v>0</v>
      </c>
      <c r="M64" s="132">
        <f>_xlfn.IFERROR(VLOOKUP($P64,#REF!,17,0),0)</f>
        <v>0</v>
      </c>
      <c r="N64" s="132">
        <f>_xlfn.IFERROR(VLOOKUP($P64,#REF!,17,0),0)</f>
        <v>0</v>
      </c>
      <c r="O64" s="132">
        <f>_xlfn.IFERROR(VLOOKUP($P64,#REF!,17,0),0)</f>
        <v>0</v>
      </c>
      <c r="P64" s="5" t="str">
        <f>CONCATENATE(LOWER(B64)," ",LOWER(C64))</f>
        <v> </v>
      </c>
      <c r="Q64" s="15"/>
    </row>
    <row r="65" spans="1:17" ht="12.75" thickBot="1">
      <c r="A65" s="134">
        <v>5</v>
      </c>
      <c r="B65" s="130"/>
      <c r="C65" s="130"/>
      <c r="D65" s="144" t="s">
        <v>50</v>
      </c>
      <c r="E65" s="136">
        <f>SUM(F65:O65)-SMALL(F65:O65,2)-MIN(F65:O65)</f>
        <v>0</v>
      </c>
      <c r="F65" s="167">
        <f>_xlfn.IFERROR(VLOOKUP($P65,'Rd1 PI'!$C$2:$AC$21,17,0),0)</f>
        <v>0</v>
      </c>
      <c r="G65" s="132">
        <f>_xlfn.IFERROR(VLOOKUP($P65,'Rd2 Winton'!$C$2:$AC$24,17,0),0)</f>
        <v>0</v>
      </c>
      <c r="H65" s="502">
        <f>_xlfn.IFERROR(VLOOKUP($P65,'Rd3 Winton IC'!$C$2:$AC$56,17,0),0)</f>
        <v>0</v>
      </c>
      <c r="I65" s="502">
        <f>_xlfn.IFERROR(VLOOKUP($P65,'Rd4 Sandown'!$C$2:$AC$30,17,0),0)</f>
        <v>0</v>
      </c>
      <c r="J65" s="502">
        <f>_xlfn.IFERROR(VLOOKUP($P65,'Rd5 Winton'!$C$2:$AC$29,17,0),0)</f>
        <v>0</v>
      </c>
      <c r="K65" s="502">
        <f>_xlfn.IFERROR(VLOOKUP($P65,'Rd6 PI'!$C$2:$AC$29,17,0),0)</f>
        <v>0</v>
      </c>
      <c r="L65" s="645">
        <f>_xlfn.IFERROR(VLOOKUP($P65,'Rd7 Winton'!$C$2:$AC$29,17,0),0)</f>
        <v>0</v>
      </c>
      <c r="M65" s="132">
        <f>_xlfn.IFERROR(VLOOKUP($P65,#REF!,17,0),0)</f>
        <v>0</v>
      </c>
      <c r="N65" s="132">
        <f>_xlfn.IFERROR(VLOOKUP($P65,#REF!,17,0),0)</f>
        <v>0</v>
      </c>
      <c r="O65" s="132">
        <f>_xlfn.IFERROR(VLOOKUP($P65,#REF!,17,0),0)</f>
        <v>0</v>
      </c>
      <c r="P65" s="5" t="str">
        <f>CONCATENATE(LOWER(B65)," ",LOWER(C65))</f>
        <v> </v>
      </c>
      <c r="Q65" s="15"/>
    </row>
    <row r="66" spans="1:17" ht="12">
      <c r="A66" s="13"/>
      <c r="B66" s="22"/>
      <c r="C66" s="22"/>
      <c r="D66" s="23"/>
      <c r="E66" s="24"/>
      <c r="F66" s="4"/>
      <c r="G66" s="4"/>
      <c r="H66" s="4"/>
      <c r="I66" s="4"/>
      <c r="J66" s="4"/>
      <c r="K66" s="4"/>
      <c r="L66" s="4"/>
      <c r="M66" s="4"/>
      <c r="N66" s="4"/>
      <c r="O66" s="4"/>
      <c r="P66" s="14"/>
      <c r="Q66" s="15"/>
    </row>
    <row r="67" spans="1:15" s="5" customFormat="1" ht="12.75" thickBot="1">
      <c r="A67" s="375" t="s">
        <v>18</v>
      </c>
      <c r="B67" s="376"/>
      <c r="C67" s="376"/>
      <c r="D67" s="15"/>
      <c r="E67" s="24"/>
      <c r="F67" s="4"/>
      <c r="G67" s="4"/>
      <c r="H67" s="4"/>
      <c r="I67" s="4"/>
      <c r="J67" s="4"/>
      <c r="K67" s="4"/>
      <c r="L67" s="4"/>
      <c r="M67" s="4"/>
      <c r="N67" s="4"/>
      <c r="O67" s="4"/>
    </row>
    <row r="68" spans="1:16" s="5" customFormat="1" ht="12">
      <c r="A68" s="365">
        <v>1</v>
      </c>
      <c r="B68" s="366"/>
      <c r="C68" s="366"/>
      <c r="D68" s="367" t="s">
        <v>22</v>
      </c>
      <c r="E68" s="368">
        <f>SUM(F68:O68)-SMALL(F68:O68,2)-MIN(F68:O68)</f>
        <v>0</v>
      </c>
      <c r="F68" s="369">
        <f>_xlfn.IFERROR(VLOOKUP($P68,'Rd1 PI'!$C$2:$AC$21,17,0),0)</f>
        <v>0</v>
      </c>
      <c r="G68" s="370">
        <f>_xlfn.IFERROR(VLOOKUP($P68,'Rd2 Winton'!$C$2:$AC$24,17,0),0)</f>
        <v>0</v>
      </c>
      <c r="H68" s="370">
        <f>_xlfn.IFERROR(VLOOKUP($P68,'Rd3 Winton IC'!$C$2:$AC$56,17,0),0)</f>
        <v>0</v>
      </c>
      <c r="I68" s="370">
        <f>_xlfn.IFERROR(VLOOKUP($P68,'Rd4 Sandown'!$C$2:$AC$30,17,0),0)</f>
        <v>0</v>
      </c>
      <c r="J68" s="370">
        <f>_xlfn.IFERROR(VLOOKUP($P68,'Rd5 Winton'!$C$2:$AC$29,17,0),0)</f>
        <v>0</v>
      </c>
      <c r="K68" s="370">
        <f>_xlfn.IFERROR(VLOOKUP($P68,'Rd6 PI'!$C$2:$AC$29,17,0),0)</f>
        <v>0</v>
      </c>
      <c r="L68" s="370">
        <f>_xlfn.IFERROR(VLOOKUP($P68,'Rd7 Winton'!$C$2:$AC$29,17,0),0)</f>
        <v>0</v>
      </c>
      <c r="M68" s="370">
        <f>_xlfn.IFERROR(VLOOKUP($P68,#REF!,17,0),0)</f>
        <v>0</v>
      </c>
      <c r="N68" s="370">
        <f>_xlfn.IFERROR(VLOOKUP($P68,#REF!,17,0),0)</f>
        <v>0</v>
      </c>
      <c r="O68" s="370">
        <v>0</v>
      </c>
      <c r="P68" s="5" t="str">
        <f>CONCATENATE(LOWER(B68)," ",LOWER(C68))</f>
        <v> </v>
      </c>
    </row>
    <row r="69" spans="1:16" s="5" customFormat="1" ht="12">
      <c r="A69" s="365">
        <v>2</v>
      </c>
      <c r="B69" s="366"/>
      <c r="C69" s="366"/>
      <c r="D69" s="367" t="s">
        <v>22</v>
      </c>
      <c r="E69" s="371">
        <f>SUM(F69:O69)-SMALL(F69:O69,2)-MIN(F69:O69)</f>
        <v>0</v>
      </c>
      <c r="F69" s="369">
        <f>_xlfn.IFERROR(VLOOKUP($P69,'Rd1 PI'!$C$2:$AC$21,17,0),0)</f>
        <v>0</v>
      </c>
      <c r="G69" s="370">
        <f>_xlfn.IFERROR(VLOOKUP($P69,'Rd2 Winton'!$C$2:$AC$24,17,0),0)</f>
        <v>0</v>
      </c>
      <c r="H69" s="370">
        <f>_xlfn.IFERROR(VLOOKUP($P69,'Rd3 Winton IC'!$C$2:$AC$56,17,0),0)</f>
        <v>0</v>
      </c>
      <c r="I69" s="370">
        <f>_xlfn.IFERROR(VLOOKUP($P69,'Rd4 Sandown'!$C$2:$AC$30,17,0),0)</f>
        <v>0</v>
      </c>
      <c r="J69" s="370">
        <f>_xlfn.IFERROR(VLOOKUP($P69,'Rd5 Winton'!$C$2:$AC$29,17,0),0)</f>
        <v>0</v>
      </c>
      <c r="K69" s="370">
        <f>_xlfn.IFERROR(VLOOKUP($P69,'Rd6 PI'!$C$2:$AC$29,17,0),0)</f>
        <v>0</v>
      </c>
      <c r="L69" s="370">
        <f>_xlfn.IFERROR(VLOOKUP($P69,'Rd7 Winton'!$C$2:$AC$29,17,0),0)</f>
        <v>0</v>
      </c>
      <c r="M69" s="370">
        <f>_xlfn.IFERROR(VLOOKUP($P69,#REF!,17,0),0)</f>
        <v>0</v>
      </c>
      <c r="N69" s="370">
        <f>_xlfn.IFERROR(VLOOKUP($P69,#REF!,17,0),0)</f>
        <v>0</v>
      </c>
      <c r="O69" s="370">
        <f>_xlfn.IFERROR(VLOOKUP($P69,#REF!,17,0),0)</f>
        <v>0</v>
      </c>
      <c r="P69" s="5" t="str">
        <f>CONCATENATE(LOWER(B69)," ",LOWER(C69))</f>
        <v> </v>
      </c>
    </row>
    <row r="70" spans="1:16" s="5" customFormat="1" ht="12">
      <c r="A70" s="365">
        <v>3</v>
      </c>
      <c r="B70" s="366"/>
      <c r="C70" s="366"/>
      <c r="D70" s="367" t="s">
        <v>22</v>
      </c>
      <c r="E70" s="371">
        <f>SUM(F70:O70)-SMALL(F70:O70,2)-MIN(F70:O70)</f>
        <v>0</v>
      </c>
      <c r="F70" s="369">
        <f>_xlfn.IFERROR(VLOOKUP($P70,'Rd1 PI'!$C$2:$AC$21,17,0),0)</f>
        <v>0</v>
      </c>
      <c r="G70" s="370">
        <f>_xlfn.IFERROR(VLOOKUP($P70,'Rd2 Winton'!$C$2:$AC$24,17,0),0)</f>
        <v>0</v>
      </c>
      <c r="H70" s="370">
        <f>_xlfn.IFERROR(VLOOKUP($P70,'Rd3 Winton IC'!$C$2:$AC$56,17,0),0)</f>
        <v>0</v>
      </c>
      <c r="I70" s="370">
        <f>_xlfn.IFERROR(VLOOKUP($P70,'Rd4 Sandown'!$C$2:$AC$30,17,0),0)</f>
        <v>0</v>
      </c>
      <c r="J70" s="370">
        <f>_xlfn.IFERROR(VLOOKUP($P70,'Rd5 Winton'!$C$2:$AC$29,17,0),0)</f>
        <v>0</v>
      </c>
      <c r="K70" s="370">
        <f>_xlfn.IFERROR(VLOOKUP($P70,'Rd6 PI'!$C$2:$AC$29,17,0),0)</f>
        <v>0</v>
      </c>
      <c r="L70" s="370">
        <f>_xlfn.IFERROR(VLOOKUP($P70,'Rd7 Winton'!$C$2:$AC$29,17,0),0)</f>
        <v>0</v>
      </c>
      <c r="M70" s="370">
        <f>_xlfn.IFERROR(VLOOKUP($P70,#REF!,17,0),0)</f>
        <v>0</v>
      </c>
      <c r="N70" s="370">
        <f>_xlfn.IFERROR(VLOOKUP($P70,#REF!,17,0),0)</f>
        <v>0</v>
      </c>
      <c r="O70" s="370">
        <f>_xlfn.IFERROR(VLOOKUP($P70,#REF!,17,0),0)</f>
        <v>0</v>
      </c>
      <c r="P70" s="5" t="str">
        <f>CONCATENATE(LOWER(B70)," ",LOWER(C70))</f>
        <v> </v>
      </c>
    </row>
    <row r="71" spans="1:17" s="5" customFormat="1" ht="12">
      <c r="A71" s="365">
        <v>4</v>
      </c>
      <c r="B71" s="372"/>
      <c r="C71" s="372"/>
      <c r="D71" s="367" t="s">
        <v>22</v>
      </c>
      <c r="E71" s="371">
        <f>SUM(F71:O71)-SMALL(F71:O71,2)-MIN(F71:O71)</f>
        <v>0</v>
      </c>
      <c r="F71" s="369">
        <f>_xlfn.IFERROR(VLOOKUP($P71,'Rd1 PI'!$C$2:$AC$21,17,0),0)</f>
        <v>0</v>
      </c>
      <c r="G71" s="370">
        <f>_xlfn.IFERROR(VLOOKUP($P71,'Rd2 Winton'!$C$2:$AC$24,17,0),0)</f>
        <v>0</v>
      </c>
      <c r="H71" s="370">
        <f>_xlfn.IFERROR(VLOOKUP($P71,'Rd3 Winton IC'!$C$2:$AC$56,17,0),0)</f>
        <v>0</v>
      </c>
      <c r="I71" s="370">
        <f>_xlfn.IFERROR(VLOOKUP($P71,'Rd4 Sandown'!$C$2:$AC$30,17,0),0)</f>
        <v>0</v>
      </c>
      <c r="J71" s="370">
        <f>_xlfn.IFERROR(VLOOKUP($P71,'Rd5 Winton'!$C$2:$AC$29,17,0),0)</f>
        <v>0</v>
      </c>
      <c r="K71" s="370">
        <f>_xlfn.IFERROR(VLOOKUP($P71,'Rd6 PI'!$C$2:$AC$29,17,0),0)</f>
        <v>0</v>
      </c>
      <c r="L71" s="370">
        <f>_xlfn.IFERROR(VLOOKUP($P71,'Rd7 Winton'!$C$2:$AC$29,17,0),0)</f>
        <v>0</v>
      </c>
      <c r="M71" s="370">
        <f>_xlfn.IFERROR(VLOOKUP($P71,#REF!,17,0),0)</f>
        <v>0</v>
      </c>
      <c r="N71" s="370">
        <f>_xlfn.IFERROR(VLOOKUP($P71,#REF!,17,0),0)</f>
        <v>0</v>
      </c>
      <c r="O71" s="370">
        <f>_xlfn.IFERROR(VLOOKUP($P71,#REF!,17,0),0)</f>
        <v>0</v>
      </c>
      <c r="P71" s="5" t="str">
        <f>CONCATENATE(LOWER(B71)," ",LOWER(C71))</f>
        <v> </v>
      </c>
      <c r="Q71" s="15"/>
    </row>
    <row r="72" spans="1:17" s="5" customFormat="1" ht="12.75" thickBot="1">
      <c r="A72" s="373">
        <v>5</v>
      </c>
      <c r="B72" s="372"/>
      <c r="C72" s="372"/>
      <c r="D72" s="367" t="s">
        <v>22</v>
      </c>
      <c r="E72" s="374">
        <f>SUM(F72:O72)-SMALL(F72:O72,2)-MIN(F72:O72)</f>
        <v>0</v>
      </c>
      <c r="F72" s="369">
        <f>_xlfn.IFERROR(VLOOKUP($P72,'Rd1 PI'!$C$2:$AC$21,17,0),0)</f>
        <v>0</v>
      </c>
      <c r="G72" s="370">
        <f>_xlfn.IFERROR(VLOOKUP($P72,'Rd2 Winton'!$C$2:$AC$24,17,0),0)</f>
        <v>0</v>
      </c>
      <c r="H72" s="370">
        <f>_xlfn.IFERROR(VLOOKUP($P72,'Rd3 Winton IC'!$C$2:$AC$56,17,0),0)</f>
        <v>0</v>
      </c>
      <c r="I72" s="370">
        <f>_xlfn.IFERROR(VLOOKUP($P72,'Rd4 Sandown'!$C$2:$AC$30,17,0),0)</f>
        <v>0</v>
      </c>
      <c r="J72" s="370">
        <f>_xlfn.IFERROR(VLOOKUP($P72,'Rd5 Winton'!$C$2:$AC$29,17,0),0)</f>
        <v>0</v>
      </c>
      <c r="K72" s="370">
        <f>_xlfn.IFERROR(VLOOKUP($P72,'Rd6 PI'!$C$2:$AC$29,17,0),0)</f>
        <v>0</v>
      </c>
      <c r="L72" s="370">
        <f>_xlfn.IFERROR(VLOOKUP($P72,'Rd7 Winton'!$C$2:$AC$29,17,0),0)</f>
        <v>0</v>
      </c>
      <c r="M72" s="370">
        <f>_xlfn.IFERROR(VLOOKUP($P72,#REF!,17,0),0)</f>
        <v>0</v>
      </c>
      <c r="N72" s="370">
        <f>_xlfn.IFERROR(VLOOKUP($P72,#REF!,17,0),0)</f>
        <v>0</v>
      </c>
      <c r="O72" s="370">
        <f>_xlfn.IFERROR(VLOOKUP($P72,#REF!,17,0),0)</f>
        <v>0</v>
      </c>
      <c r="P72" s="5" t="str">
        <f>CONCATENATE(LOWER(B72)," ",LOWER(C72))</f>
        <v> </v>
      </c>
      <c r="Q72" s="15"/>
    </row>
    <row r="73" spans="1:17" s="5" customFormat="1" ht="12">
      <c r="A73" s="13"/>
      <c r="B73" s="22"/>
      <c r="C73" s="22"/>
      <c r="D73" s="4"/>
      <c r="E73" s="24"/>
      <c r="F73" s="4"/>
      <c r="G73" s="4"/>
      <c r="H73" s="4"/>
      <c r="I73" s="4"/>
      <c r="J73" s="4"/>
      <c r="K73" s="4"/>
      <c r="L73" s="4"/>
      <c r="M73" s="4"/>
      <c r="N73" s="4"/>
      <c r="O73" s="4"/>
      <c r="P73" s="14"/>
      <c r="Q73" s="15"/>
    </row>
    <row r="74" spans="1:15" s="5" customFormat="1" ht="12.75" thickBot="1">
      <c r="A74" s="45" t="s">
        <v>19</v>
      </c>
      <c r="B74" s="46"/>
      <c r="C74" s="46"/>
      <c r="D74" s="15"/>
      <c r="E74" s="24"/>
      <c r="F74" s="4"/>
      <c r="G74" s="4"/>
      <c r="H74" s="4"/>
      <c r="I74" s="4"/>
      <c r="J74" s="4"/>
      <c r="K74" s="4"/>
      <c r="L74" s="4"/>
      <c r="M74" s="4"/>
      <c r="N74" s="4"/>
      <c r="O74" s="4"/>
    </row>
    <row r="75" spans="1:16" s="5" customFormat="1" ht="12">
      <c r="A75" s="42">
        <v>1</v>
      </c>
      <c r="B75" s="102" t="s">
        <v>31</v>
      </c>
      <c r="C75" s="102" t="s">
        <v>32</v>
      </c>
      <c r="D75" s="83" t="s">
        <v>21</v>
      </c>
      <c r="E75" s="90">
        <f>SUM(F75:O75)-SMALL(F75:O75,2)-MIN(F75:O75)</f>
        <v>650</v>
      </c>
      <c r="F75" s="161">
        <f>_xlfn.IFERROR(VLOOKUP($P75,'Rd1 PI'!$C$2:$AC$21,17,0),0)</f>
        <v>100</v>
      </c>
      <c r="G75" s="43">
        <f>_xlfn.IFERROR(VLOOKUP($P75,'Rd2 Winton'!$C$2:$AC$24,17,0),0)</f>
        <v>100</v>
      </c>
      <c r="H75" s="501">
        <f>_xlfn.IFERROR(VLOOKUP($P75,'Rd3 Winton IC'!$C$2:$AC$56,17,0),0)</f>
        <v>75</v>
      </c>
      <c r="I75" s="501">
        <f>_xlfn.IFERROR(VLOOKUP($P75,'Rd4 Sandown'!$C$2:$AC$30,17,0),0)</f>
        <v>100</v>
      </c>
      <c r="J75" s="501">
        <f>_xlfn.IFERROR(VLOOKUP($P75,'Rd5 Winton'!$C$2:$AC$29,17,0),0)</f>
        <v>100</v>
      </c>
      <c r="K75" s="501">
        <f>_xlfn.IFERROR(VLOOKUP($P75,'Rd6 PI'!$C$2:$AC$29,17,0),0)</f>
        <v>75</v>
      </c>
      <c r="L75" s="644">
        <f>_xlfn.IFERROR(VLOOKUP($P75,'Rd7 Winton'!$C$2:$AC$29,17,0),0)</f>
        <v>100</v>
      </c>
      <c r="M75" s="43">
        <f>_xlfn.IFERROR(VLOOKUP($P75,#REF!,17,0),0)</f>
        <v>0</v>
      </c>
      <c r="N75" s="43">
        <f>_xlfn.IFERROR(VLOOKUP($P75,#REF!,17,0),0)</f>
        <v>0</v>
      </c>
      <c r="O75" s="43">
        <f>_xlfn.IFERROR(VLOOKUP($P75,#REF!,17,0),0)</f>
        <v>0</v>
      </c>
      <c r="P75" s="5" t="str">
        <f>CONCATENATE(LOWER(B75)," ",LOWER(C75))</f>
        <v>noel heritage</v>
      </c>
    </row>
    <row r="76" spans="1:17" s="5" customFormat="1" ht="12">
      <c r="A76" s="42">
        <v>2</v>
      </c>
      <c r="B76" s="35" t="s">
        <v>113</v>
      </c>
      <c r="C76" s="35" t="s">
        <v>114</v>
      </c>
      <c r="D76" s="83" t="s">
        <v>21</v>
      </c>
      <c r="E76" s="91">
        <f>SUM(F76:O76)-SMALL(F76:O76,2)-MIN(F76:O76)</f>
        <v>575</v>
      </c>
      <c r="F76" s="161">
        <f>_xlfn.IFERROR(VLOOKUP($P76,'Rd1 PI'!$C$2:$AC$21,17,0),0)</f>
        <v>75</v>
      </c>
      <c r="G76" s="43">
        <f>_xlfn.IFERROR(VLOOKUP($P76,'Rd2 Winton'!$C$2:$AC$24,17,0),0)</f>
        <v>75</v>
      </c>
      <c r="H76" s="501">
        <f>_xlfn.IFERROR(VLOOKUP($P76,'Rd3 Winton IC'!$C$2:$AC$56,17,0),0)</f>
        <v>100</v>
      </c>
      <c r="I76" s="501">
        <f>_xlfn.IFERROR(VLOOKUP($P76,'Rd4 Sandown'!$C$2:$AC$30,17,0),0)</f>
        <v>75</v>
      </c>
      <c r="J76" s="501">
        <f>_xlfn.IFERROR(VLOOKUP($P76,'Rd5 Winton'!$C$2:$AC$29,17,0),0)</f>
        <v>75</v>
      </c>
      <c r="K76" s="501">
        <f>_xlfn.IFERROR(VLOOKUP($P76,'Rd6 PI'!$C$2:$AC$29,17,0),0)</f>
        <v>100</v>
      </c>
      <c r="L76" s="644">
        <f>_xlfn.IFERROR(VLOOKUP($P76,'Rd7 Winton'!$C$2:$AC$29,17,0),0)</f>
        <v>75</v>
      </c>
      <c r="M76" s="43">
        <f>_xlfn.IFERROR(VLOOKUP($P76,#REF!,17,0),0)</f>
        <v>0</v>
      </c>
      <c r="N76" s="43">
        <f>_xlfn.IFERROR(VLOOKUP($P76,#REF!,17,0),0)</f>
        <v>0</v>
      </c>
      <c r="O76" s="43">
        <f>_xlfn.IFERROR(VLOOKUP($P76,#REF!,17,0),0)</f>
        <v>0</v>
      </c>
      <c r="P76" s="5" t="str">
        <f>CONCATENATE(LOWER(B76)," ",LOWER(C76))</f>
        <v>max lloyd</v>
      </c>
      <c r="Q76" s="15"/>
    </row>
    <row r="77" spans="1:16" s="5" customFormat="1" ht="12">
      <c r="A77" s="42">
        <v>3</v>
      </c>
      <c r="B77" s="102" t="s">
        <v>62</v>
      </c>
      <c r="C77" s="102" t="s">
        <v>59</v>
      </c>
      <c r="D77" s="83" t="s">
        <v>21</v>
      </c>
      <c r="E77" s="91">
        <f>SUM(F77:O77)-SMALL(F77:O77,2)-MIN(F77:O77)</f>
        <v>60</v>
      </c>
      <c r="F77" s="161">
        <f>_xlfn.IFERROR(VLOOKUP($P77,'Rd1 PI'!$C$2:$AC$21,17,0),0)</f>
        <v>60</v>
      </c>
      <c r="G77" s="43">
        <f>_xlfn.IFERROR(VLOOKUP($P77,'Rd2 Winton'!$C$2:$AC$24,17,0),0)</f>
        <v>0</v>
      </c>
      <c r="H77" s="501">
        <f>_xlfn.IFERROR(VLOOKUP($P77,'Rd3 Winton IC'!$C$2:$AC$56,17,0),0)</f>
        <v>0</v>
      </c>
      <c r="I77" s="501">
        <f>_xlfn.IFERROR(VLOOKUP($P77,'Rd4 Sandown'!$C$2:$AC$30,17,0),0)</f>
        <v>0</v>
      </c>
      <c r="J77" s="501">
        <f>_xlfn.IFERROR(VLOOKUP($P77,'Rd5 Winton'!$C$2:$AC$29,17,0),0)</f>
        <v>0</v>
      </c>
      <c r="K77" s="501">
        <f>_xlfn.IFERROR(VLOOKUP($P77,'Rd6 PI'!$C$2:$AC$29,17,0),0)</f>
        <v>0</v>
      </c>
      <c r="L77" s="644">
        <f>_xlfn.IFERROR(VLOOKUP($P77,'Rd7 Winton'!$C$2:$AC$29,17,0),0)</f>
        <v>0</v>
      </c>
      <c r="M77" s="43">
        <f>_xlfn.IFERROR(VLOOKUP($P77,#REF!,17,0),0)</f>
        <v>0</v>
      </c>
      <c r="N77" s="43">
        <f>_xlfn.IFERROR(VLOOKUP($P77,#REF!,17,0),0)</f>
        <v>0</v>
      </c>
      <c r="O77" s="43">
        <f>_xlfn.IFERROR(VLOOKUP($P77,#REF!,17,0),0)</f>
        <v>0</v>
      </c>
      <c r="P77" s="5" t="str">
        <f>CONCATENATE(LOWER(B77)," ",LOWER(C77))</f>
        <v>gareth pedley</v>
      </c>
    </row>
    <row r="78" spans="1:17" ht="12">
      <c r="A78" s="42">
        <v>4</v>
      </c>
      <c r="B78" s="35" t="s">
        <v>431</v>
      </c>
      <c r="C78" s="102" t="s">
        <v>432</v>
      </c>
      <c r="D78" s="83" t="s">
        <v>21</v>
      </c>
      <c r="E78" s="91">
        <f>SUM(F78:O78)-SMALL(F78:O78,2)-MIN(F78:O78)</f>
        <v>60</v>
      </c>
      <c r="F78" s="161">
        <f>_xlfn.IFERROR(VLOOKUP($P78,'Rd1 PI'!$C$2:$AC$21,17,0),0)</f>
        <v>0</v>
      </c>
      <c r="G78" s="43">
        <f>_xlfn.IFERROR(VLOOKUP($P78,'Rd2 Winton'!$C$2:$AC$24,17,0),0)</f>
        <v>0</v>
      </c>
      <c r="H78" s="501">
        <f>_xlfn.IFERROR(VLOOKUP($P78,'Rd3 Winton IC'!$C$2:$AC$56,17,0),0)</f>
        <v>0</v>
      </c>
      <c r="I78" s="501">
        <f>_xlfn.IFERROR(VLOOKUP($P78,'Rd4 Sandown'!$C$2:$AC$30,17,0),0)</f>
        <v>60</v>
      </c>
      <c r="J78" s="501">
        <f>_xlfn.IFERROR(VLOOKUP($P78,'Rd5 Winton'!$C$2:$AC$29,17,0),0)</f>
        <v>0</v>
      </c>
      <c r="K78" s="501">
        <f>_xlfn.IFERROR(VLOOKUP($P78,'Rd6 PI'!$C$2:$AC$29,17,0),0)</f>
        <v>0</v>
      </c>
      <c r="L78" s="644">
        <f>_xlfn.IFERROR(VLOOKUP($P78,'Rd7 Winton'!$C$2:$AC$29,17,0),0)</f>
        <v>0</v>
      </c>
      <c r="M78" s="43">
        <f>_xlfn.IFERROR(VLOOKUP($P78,#REF!,17,0),0)</f>
        <v>0</v>
      </c>
      <c r="N78" s="43">
        <f>_xlfn.IFERROR(VLOOKUP($P78,#REF!,17,0),0)</f>
        <v>0</v>
      </c>
      <c r="O78" s="43">
        <f>_xlfn.IFERROR(VLOOKUP($P78,#REF!,17,0),0)</f>
        <v>0</v>
      </c>
      <c r="P78" s="5" t="str">
        <f>CONCATENATE(LOWER(B78)," ",LOWER(C78))</f>
        <v>murray seymour</v>
      </c>
      <c r="Q78" s="5"/>
    </row>
    <row r="79" spans="1:17" ht="12.75" thickBot="1">
      <c r="A79" s="44">
        <v>5</v>
      </c>
      <c r="B79" s="102"/>
      <c r="C79" s="102"/>
      <c r="D79" s="83" t="s">
        <v>21</v>
      </c>
      <c r="E79" s="92">
        <f>SUM(F79:O79)-SMALL(F79:O79,2)-MIN(F79:O79)</f>
        <v>0</v>
      </c>
      <c r="F79" s="161">
        <f>_xlfn.IFERROR(VLOOKUP($P79,'Rd1 PI'!$C$2:$AC$21,17,0),0)</f>
        <v>0</v>
      </c>
      <c r="G79" s="43">
        <f>_xlfn.IFERROR(VLOOKUP($P79,'Rd2 Winton'!$C$2:$AC$24,17,0),0)</f>
        <v>0</v>
      </c>
      <c r="H79" s="501">
        <f>_xlfn.IFERROR(VLOOKUP($P79,'Rd3 Winton IC'!$C$2:$AC$56,17,0),0)</f>
        <v>0</v>
      </c>
      <c r="I79" s="501">
        <f>_xlfn.IFERROR(VLOOKUP($P79,'Rd4 Sandown'!$C$2:$AC$30,17,0),0)</f>
        <v>0</v>
      </c>
      <c r="J79" s="501">
        <f>_xlfn.IFERROR(VLOOKUP($P79,'Rd5 Winton'!$C$2:$AC$29,17,0),0)</f>
        <v>0</v>
      </c>
      <c r="K79" s="501">
        <f>_xlfn.IFERROR(VLOOKUP($P79,'Rd6 PI'!$C$2:$AC$29,17,0),0)</f>
        <v>0</v>
      </c>
      <c r="L79" s="644">
        <f>_xlfn.IFERROR(VLOOKUP($P79,'Rd7 Winton'!$C$2:$AC$29,17,0),0)</f>
        <v>0</v>
      </c>
      <c r="M79" s="43">
        <f>_xlfn.IFERROR(VLOOKUP($P79,#REF!,17,0),0)</f>
        <v>0</v>
      </c>
      <c r="N79" s="43">
        <f>_xlfn.IFERROR(VLOOKUP($P79,#REF!,17,0),0)</f>
        <v>0</v>
      </c>
      <c r="O79" s="43">
        <f>_xlfn.IFERROR(VLOOKUP($P79,#REF!,17,0),0)</f>
        <v>0</v>
      </c>
      <c r="P79" s="5" t="str">
        <f>CONCATENATE(LOWER(B79)," ",LOWER(C79))</f>
        <v> </v>
      </c>
      <c r="Q79" s="15"/>
    </row>
    <row r="80" spans="1:17" ht="12">
      <c r="A80" s="13"/>
      <c r="B80" s="22"/>
      <c r="C80" s="22"/>
      <c r="D80" s="4"/>
      <c r="E80" s="24"/>
      <c r="F80" s="4"/>
      <c r="G80" s="4"/>
      <c r="H80" s="4"/>
      <c r="I80" s="4"/>
      <c r="J80" s="4"/>
      <c r="K80" s="4"/>
      <c r="L80" s="4"/>
      <c r="M80" s="4"/>
      <c r="N80" s="4"/>
      <c r="O80" s="4"/>
      <c r="P80" s="14"/>
      <c r="Q80" s="15"/>
    </row>
    <row r="81" spans="1:15" s="5" customFormat="1" ht="12.75" thickBot="1">
      <c r="A81" s="336" t="s">
        <v>48</v>
      </c>
      <c r="B81" s="290"/>
      <c r="C81" s="290"/>
      <c r="D81" s="15"/>
      <c r="E81" s="24"/>
      <c r="F81" s="4"/>
      <c r="G81" s="4"/>
      <c r="H81" s="4"/>
      <c r="I81" s="4"/>
      <c r="J81" s="4"/>
      <c r="K81" s="4"/>
      <c r="L81" s="4"/>
      <c r="M81" s="4"/>
      <c r="N81" s="4"/>
      <c r="O81" s="4"/>
    </row>
    <row r="82" spans="1:16" s="5" customFormat="1" ht="12">
      <c r="A82" s="337">
        <v>1</v>
      </c>
      <c r="B82" s="333" t="s">
        <v>70</v>
      </c>
      <c r="C82" s="333" t="s">
        <v>71</v>
      </c>
      <c r="D82" s="338" t="s">
        <v>51</v>
      </c>
      <c r="E82" s="339">
        <f>SUM(F82:O82)-SMALL(F82:O82,2)-MIN(F82:O82)</f>
        <v>600</v>
      </c>
      <c r="F82" s="335">
        <f>_xlfn.IFERROR(VLOOKUP($P82,'Rd1 PI'!$C$2:$AC$21,17,0),0)</f>
        <v>100</v>
      </c>
      <c r="G82" s="334">
        <f>_xlfn.IFERROR(VLOOKUP($P82,'Rd2 Winton'!$C$2:$AC$24,17,0),0)</f>
        <v>100</v>
      </c>
      <c r="H82" s="334">
        <f>_xlfn.IFERROR(VLOOKUP($P82,'Rd3 Winton IC'!$C$2:$AC$56,17,0),0)</f>
        <v>100</v>
      </c>
      <c r="I82" s="334">
        <f>_xlfn.IFERROR(VLOOKUP($P82,'Rd4 Sandown'!$C$2:$AC$30,17,0),0)</f>
        <v>100</v>
      </c>
      <c r="J82" s="334">
        <f>_xlfn.IFERROR(VLOOKUP($P82,'Rd5 Winton'!$C$2:$AC$29,17,0),0)</f>
        <v>100</v>
      </c>
      <c r="K82" s="334">
        <f>_xlfn.IFERROR(VLOOKUP($P82,'Rd6 PI'!$C$2:$AC$29,17,0),0)</f>
        <v>0</v>
      </c>
      <c r="L82" s="334">
        <f>_xlfn.IFERROR(VLOOKUP($P82,'Rd7 Winton'!$C$2:$AC$29,17,0),0)</f>
        <v>100</v>
      </c>
      <c r="M82" s="334">
        <f>_xlfn.IFERROR(VLOOKUP($P82,#REF!,17,0),0)</f>
        <v>0</v>
      </c>
      <c r="N82" s="334">
        <f>_xlfn.IFERROR(VLOOKUP($P82,#REF!,17,0),0)</f>
        <v>0</v>
      </c>
      <c r="O82" s="334">
        <f>_xlfn.IFERROR(VLOOKUP($P82,#REF!,17,0),0)</f>
        <v>0</v>
      </c>
      <c r="P82" s="5" t="str">
        <f>CONCATENATE(LOWER(B82)," ",LOWER(C82))</f>
        <v>gavin newman</v>
      </c>
    </row>
    <row r="83" spans="1:16" s="5" customFormat="1" ht="12">
      <c r="A83" s="337">
        <v>2</v>
      </c>
      <c r="B83" s="333" t="s">
        <v>81</v>
      </c>
      <c r="C83" s="333" t="s">
        <v>378</v>
      </c>
      <c r="D83" s="338" t="s">
        <v>51</v>
      </c>
      <c r="E83" s="340">
        <f>SUM(F83:O83)-SMALL(F83:O83,2)-MIN(F83:O83)</f>
        <v>75</v>
      </c>
      <c r="F83" s="335">
        <f>_xlfn.IFERROR(VLOOKUP($P83,'Rd1 PI'!$C$2:$AC$21,17,0),0)</f>
        <v>0</v>
      </c>
      <c r="G83" s="334">
        <f>_xlfn.IFERROR(VLOOKUP($P83,'Rd2 Winton'!$C$2:$AC$24,17,0),0)</f>
        <v>0</v>
      </c>
      <c r="H83" s="334">
        <f>_xlfn.IFERROR(VLOOKUP($P83,'Rd3 Winton IC'!$C$2:$AC$56,17,0),0)</f>
        <v>75</v>
      </c>
      <c r="I83" s="334">
        <f>_xlfn.IFERROR(VLOOKUP($P83,'Rd4 Sandown'!$C$2:$AC$30,17,0),0)</f>
        <v>0</v>
      </c>
      <c r="J83" s="334">
        <f>_xlfn.IFERROR(VLOOKUP($P83,'Rd5 Winton'!$C$2:$AC$29,17,0),0)</f>
        <v>0</v>
      </c>
      <c r="K83" s="334">
        <f>_xlfn.IFERROR(VLOOKUP($P83,'Rd6 PI'!$C$2:$AC$29,17,0),0)</f>
        <v>0</v>
      </c>
      <c r="L83" s="334">
        <f>_xlfn.IFERROR(VLOOKUP($P83,'Rd7 Winton'!$C$2:$AC$29,17,0),0)</f>
        <v>0</v>
      </c>
      <c r="M83" s="334">
        <f>_xlfn.IFERROR(VLOOKUP($P83,#REF!,17,0),0)</f>
        <v>0</v>
      </c>
      <c r="N83" s="334">
        <f>_xlfn.IFERROR(VLOOKUP($P83,#REF!,17,0),0)</f>
        <v>0</v>
      </c>
      <c r="O83" s="334">
        <f>_xlfn.IFERROR(VLOOKUP($P83,#REF!,17,0),0)</f>
        <v>0</v>
      </c>
      <c r="P83" s="5" t="str">
        <f>CONCATENATE(LOWER(B83)," ",LOWER(C83))</f>
        <v>john reid</v>
      </c>
    </row>
    <row r="84" spans="1:16" s="5" customFormat="1" ht="12">
      <c r="A84" s="337">
        <v>3</v>
      </c>
      <c r="B84" s="333" t="s">
        <v>429</v>
      </c>
      <c r="C84" s="333" t="s">
        <v>430</v>
      </c>
      <c r="D84" s="338" t="s">
        <v>51</v>
      </c>
      <c r="E84" s="340">
        <f>SUM(F84:O84)-SMALL(F84:O84,2)-MIN(F84:O84)</f>
        <v>75</v>
      </c>
      <c r="F84" s="335">
        <f>_xlfn.IFERROR(VLOOKUP($P84,'Rd1 PI'!$C$2:$AC$21,17,0),0)</f>
        <v>0</v>
      </c>
      <c r="G84" s="334">
        <f>_xlfn.IFERROR(VLOOKUP($P84,'Rd2 Winton'!$C$2:$AC$24,17,0),0)</f>
        <v>0</v>
      </c>
      <c r="H84" s="334">
        <f>_xlfn.IFERROR(VLOOKUP($P84,'Rd3 Winton IC'!$C$2:$AC$56,17,0),0)</f>
        <v>0</v>
      </c>
      <c r="I84" s="334">
        <f>_xlfn.IFERROR(VLOOKUP($P84,'Rd4 Sandown'!$C$2:$AC$30,17,0),0)</f>
        <v>75</v>
      </c>
      <c r="J84" s="334">
        <f>_xlfn.IFERROR(VLOOKUP($P84,'Rd5 Winton'!$C$2:$AC$29,17,0),0)</f>
        <v>0</v>
      </c>
      <c r="K84" s="334">
        <f>_xlfn.IFERROR(VLOOKUP($P84,'Rd6 PI'!$C$2:$AC$29,17,0),0)</f>
        <v>0</v>
      </c>
      <c r="L84" s="334">
        <f>_xlfn.IFERROR(VLOOKUP($P84,'Rd7 Winton'!$C$2:$AC$29,17,0),0)</f>
        <v>0</v>
      </c>
      <c r="M84" s="334">
        <f>_xlfn.IFERROR(VLOOKUP($P84,#REF!,17,0),0)</f>
        <v>0</v>
      </c>
      <c r="N84" s="334">
        <f>_xlfn.IFERROR(VLOOKUP($P84,#REF!,17,0),0)</f>
        <v>0</v>
      </c>
      <c r="O84" s="334">
        <f>_xlfn.IFERROR(VLOOKUP($P84,#REF!,17,0),0)</f>
        <v>0</v>
      </c>
      <c r="P84" s="5" t="str">
        <f>CONCATENATE(LOWER(B84)," ",LOWER(C84))</f>
        <v>jarrah pitt</v>
      </c>
    </row>
    <row r="85" spans="1:16" s="5" customFormat="1" ht="12">
      <c r="A85" s="337">
        <v>4</v>
      </c>
      <c r="B85" s="333" t="s">
        <v>514</v>
      </c>
      <c r="C85" s="333" t="s">
        <v>515</v>
      </c>
      <c r="D85" s="338" t="s">
        <v>51</v>
      </c>
      <c r="E85" s="340">
        <f>SUM(F85:O85)-SMALL(F85:O85,2)-MIN(F85:O85)</f>
        <v>75</v>
      </c>
      <c r="F85" s="335">
        <f>_xlfn.IFERROR(VLOOKUP($P85,'Rd1 PI'!$C$2:$AC$21,17,0),0)</f>
        <v>0</v>
      </c>
      <c r="G85" s="334">
        <f>_xlfn.IFERROR(VLOOKUP($P85,'Rd2 Winton'!$C$2:$AC$24,17,0),0)</f>
        <v>0</v>
      </c>
      <c r="H85" s="334">
        <f>_xlfn.IFERROR(VLOOKUP($P85,'Rd3 Winton IC'!$C$2:$AC$56,17,0),0)</f>
        <v>0</v>
      </c>
      <c r="I85" s="334">
        <f>_xlfn.IFERROR(VLOOKUP($P85,'Rd4 Sandown'!$C$2:$AC$30,17,0),0)</f>
        <v>0</v>
      </c>
      <c r="J85" s="334">
        <f>_xlfn.IFERROR(VLOOKUP($P85,'Rd5 Winton'!$C$2:$AC$29,17,0),0)</f>
        <v>0</v>
      </c>
      <c r="K85" s="334">
        <f>_xlfn.IFERROR(VLOOKUP($P85,'Rd6 PI'!$C$2:$AC$29,17,0),0)</f>
        <v>0</v>
      </c>
      <c r="L85" s="334">
        <f>_xlfn.IFERROR(VLOOKUP($P85,'Rd7 Winton'!$C$2:$AC$29,17,0),0)</f>
        <v>75</v>
      </c>
      <c r="M85" s="334">
        <f>_xlfn.IFERROR(VLOOKUP($P85,#REF!,17,0),0)</f>
        <v>0</v>
      </c>
      <c r="N85" s="334">
        <f>_xlfn.IFERROR(VLOOKUP($P85,#REF!,17,0),0)</f>
        <v>0</v>
      </c>
      <c r="O85" s="334">
        <f>_xlfn.IFERROR(VLOOKUP($P85,#REF!,17,0),0)</f>
        <v>0</v>
      </c>
      <c r="P85" s="5" t="str">
        <f>CONCATENATE(LOWER(B85)," ",LOWER(C85))</f>
        <v>simon acfield</v>
      </c>
    </row>
    <row r="86" spans="1:16" s="5" customFormat="1" ht="12.75" thickBot="1">
      <c r="A86" s="337">
        <v>5</v>
      </c>
      <c r="B86" s="333"/>
      <c r="C86" s="333"/>
      <c r="D86" s="338" t="s">
        <v>51</v>
      </c>
      <c r="E86" s="341">
        <f>SUM(F86:O86)-SMALL(F86:O86,2)-MIN(F86:O86)</f>
        <v>0</v>
      </c>
      <c r="F86" s="335">
        <f>_xlfn.IFERROR(VLOOKUP($P86,'Rd1 PI'!$C$2:$AC$21,17,0),0)</f>
        <v>0</v>
      </c>
      <c r="G86" s="334">
        <f>_xlfn.IFERROR(VLOOKUP($P86,'Rd2 Winton'!$C$2:$AC$24,17,0),0)</f>
        <v>0</v>
      </c>
      <c r="H86" s="334">
        <f>_xlfn.IFERROR(VLOOKUP($P86,'Rd3 Winton IC'!$C$2:$AC$56,17,0),0)</f>
        <v>0</v>
      </c>
      <c r="I86" s="334">
        <f>_xlfn.IFERROR(VLOOKUP($P86,'Rd4 Sandown'!$C$2:$AC$30,17,0),0)</f>
        <v>0</v>
      </c>
      <c r="J86" s="334">
        <f>_xlfn.IFERROR(VLOOKUP($P86,'Rd5 Winton'!$C$2:$AC$29,17,0),0)</f>
        <v>0</v>
      </c>
      <c r="K86" s="334">
        <f>_xlfn.IFERROR(VLOOKUP($P86,'Rd6 PI'!$C$2:$AC$29,17,0),0)</f>
        <v>0</v>
      </c>
      <c r="L86" s="334">
        <f>_xlfn.IFERROR(VLOOKUP($P86,'Rd7 Winton'!$C$2:$AC$29,17,0),0)</f>
        <v>0</v>
      </c>
      <c r="M86" s="334">
        <f>_xlfn.IFERROR(VLOOKUP($P86,#REF!,17,0),0)</f>
        <v>0</v>
      </c>
      <c r="N86" s="334">
        <f>_xlfn.IFERROR(VLOOKUP($P86,#REF!,17,0),0)</f>
        <v>0</v>
      </c>
      <c r="O86" s="334">
        <f>_xlfn.IFERROR(VLOOKUP($P86,#REF!,17,0),0)</f>
        <v>0</v>
      </c>
      <c r="P86" s="5" t="str">
        <f>CONCATENATE(LOWER(B86)," ",LOWER(C86))</f>
        <v> </v>
      </c>
    </row>
    <row r="87" spans="1:17" ht="12">
      <c r="A87" s="13"/>
      <c r="B87" s="5"/>
      <c r="C87" s="5"/>
      <c r="D87" s="23"/>
      <c r="E87" s="24"/>
      <c r="F87" s="4"/>
      <c r="G87" s="4"/>
      <c r="H87" s="4"/>
      <c r="I87" s="12"/>
      <c r="J87" s="12"/>
      <c r="K87" s="12"/>
      <c r="L87" s="4"/>
      <c r="M87" s="4"/>
      <c r="N87" s="4"/>
      <c r="O87" s="4"/>
      <c r="P87" s="14"/>
      <c r="Q87" s="15"/>
    </row>
    <row r="88" spans="1:15" s="5" customFormat="1" ht="12.75" thickBot="1">
      <c r="A88" s="40" t="s">
        <v>49</v>
      </c>
      <c r="B88" s="41"/>
      <c r="C88" s="41"/>
      <c r="D88" s="15"/>
      <c r="E88" s="24"/>
      <c r="F88" s="4"/>
      <c r="G88" s="4"/>
      <c r="H88" s="4"/>
      <c r="I88" s="4"/>
      <c r="J88" s="4"/>
      <c r="K88" s="4"/>
      <c r="L88" s="4"/>
      <c r="M88" s="4"/>
      <c r="N88" s="4"/>
      <c r="O88" s="4"/>
    </row>
    <row r="89" spans="1:16" s="5" customFormat="1" ht="12">
      <c r="A89" s="37">
        <v>1</v>
      </c>
      <c r="B89" s="114" t="s">
        <v>187</v>
      </c>
      <c r="C89" s="114" t="s">
        <v>188</v>
      </c>
      <c r="D89" s="38" t="s">
        <v>52</v>
      </c>
      <c r="E89" s="93">
        <f>SUM(F89:O89)-SMALL(F89:O89,2)-MIN(F89:O89)</f>
        <v>500</v>
      </c>
      <c r="F89" s="288">
        <f>_xlfn.IFERROR(VLOOKUP($P89,'Rd1 PI'!$C$2:$AC$21,17,0),0)</f>
        <v>0</v>
      </c>
      <c r="G89" s="39">
        <f>_xlfn.IFERROR(VLOOKUP($P89,'Rd2 Winton'!$C$2:$AC$24,17,0),0)</f>
        <v>100</v>
      </c>
      <c r="H89" s="513">
        <f>_xlfn.IFERROR(VLOOKUP($P89,'Rd3 Winton IC'!$C$2:$AC$56,17,0),0)</f>
        <v>100</v>
      </c>
      <c r="I89" s="39">
        <f>_xlfn.IFERROR(VLOOKUP($P89,'Rd4 Sandown'!$C$2:$AC$30,17,0),0)</f>
        <v>100</v>
      </c>
      <c r="J89" s="39">
        <f>_xlfn.IFERROR(VLOOKUP($P89,'Rd5 Winton'!$C$2:$AC$29,17,0),0)</f>
        <v>0</v>
      </c>
      <c r="K89" s="39">
        <f>_xlfn.IFERROR(VLOOKUP($P89,'Rd6 PI'!$C$2:$AC$29,17,0),0)</f>
        <v>100</v>
      </c>
      <c r="L89" s="39">
        <f>_xlfn.IFERROR(VLOOKUP($P89,'Rd7 Winton'!$C$2:$AC$29,17,0),0)</f>
        <v>100</v>
      </c>
      <c r="M89" s="39">
        <f>_xlfn.IFERROR(VLOOKUP($P89,#REF!,17,0),0)</f>
        <v>0</v>
      </c>
      <c r="N89" s="39">
        <f>_xlfn.IFERROR(VLOOKUP($P89,#REF!,17,0),0)</f>
        <v>0</v>
      </c>
      <c r="O89" s="39">
        <f>_xlfn.IFERROR(VLOOKUP($P89,#REF!,17,0),0)</f>
        <v>0</v>
      </c>
      <c r="P89" s="5" t="str">
        <f>CONCATENATE(LOWER(B89)," ",LOWER(C89))</f>
        <v>randy stagno navarra</v>
      </c>
    </row>
    <row r="90" spans="1:16" s="5" customFormat="1" ht="12">
      <c r="A90" s="37">
        <v>2</v>
      </c>
      <c r="B90" s="114" t="s">
        <v>189</v>
      </c>
      <c r="C90" s="114" t="s">
        <v>190</v>
      </c>
      <c r="D90" s="38" t="s">
        <v>52</v>
      </c>
      <c r="E90" s="94">
        <f>SUM(F90:O90)-SMALL(F90:O90,2)-MIN(F90:O90)</f>
        <v>325</v>
      </c>
      <c r="F90" s="288">
        <f>_xlfn.IFERROR(VLOOKUP($P90,'Rd1 PI'!$C$2:$AC$21,17,0),0)</f>
        <v>0</v>
      </c>
      <c r="G90" s="39">
        <f>_xlfn.IFERROR(VLOOKUP($P90,'Rd2 Winton'!$C$2:$AC$24,17,0),0)</f>
        <v>75</v>
      </c>
      <c r="H90" s="513">
        <f>_xlfn.IFERROR(VLOOKUP($P90,'Rd3 Winton IC'!$C$2:$AC$56,17,0),0)</f>
        <v>75</v>
      </c>
      <c r="I90" s="39">
        <f>_xlfn.IFERROR(VLOOKUP($P90,'Rd4 Sandown'!$C$2:$AC$30,17,0),0)</f>
        <v>75</v>
      </c>
      <c r="J90" s="39">
        <f>_xlfn.IFERROR(VLOOKUP($P90,'Rd5 Winton'!$C$2:$AC$29,17,0),0)</f>
        <v>100</v>
      </c>
      <c r="K90" s="39">
        <f>_xlfn.IFERROR(VLOOKUP($P90,'Rd6 PI'!$C$2:$AC$29,17,0),0)</f>
        <v>0</v>
      </c>
      <c r="L90" s="39">
        <f>_xlfn.IFERROR(VLOOKUP($P90,'Rd7 Winton'!$C$2:$AC$29,17,0),0)</f>
        <v>0</v>
      </c>
      <c r="M90" s="39">
        <f>_xlfn.IFERROR(VLOOKUP($P90,#REF!,17,0),0)</f>
        <v>0</v>
      </c>
      <c r="N90" s="39">
        <f>_xlfn.IFERROR(VLOOKUP($P90,#REF!,17,0),0)</f>
        <v>0</v>
      </c>
      <c r="O90" s="39">
        <f>_xlfn.IFERROR(VLOOKUP($P90,#REF!,17,0),0)</f>
        <v>0</v>
      </c>
      <c r="P90" s="5" t="str">
        <f>CONCATENATE(LOWER(B90)," ",LOWER(C90))</f>
        <v>alan conrad</v>
      </c>
    </row>
    <row r="91" spans="1:16" s="5" customFormat="1" ht="12">
      <c r="A91" s="37">
        <v>3</v>
      </c>
      <c r="B91" s="114"/>
      <c r="C91" s="114"/>
      <c r="D91" s="38" t="s">
        <v>52</v>
      </c>
      <c r="E91" s="94">
        <f>SUM(F91:O91)-SMALL(F91:O91,2)-MIN(F91:O91)</f>
        <v>0</v>
      </c>
      <c r="F91" s="288">
        <f>_xlfn.IFERROR(VLOOKUP($P91,'Rd1 PI'!$C$2:$AC$21,17,0),0)</f>
        <v>0</v>
      </c>
      <c r="G91" s="39">
        <f>_xlfn.IFERROR(VLOOKUP($P91,'Rd2 Winton'!$C$2:$AC$24,17,0),0)</f>
        <v>0</v>
      </c>
      <c r="H91" s="513">
        <f>_xlfn.IFERROR(VLOOKUP($P91,'Rd3 Winton IC'!$C$2:$AC$56,17,0),0)</f>
        <v>0</v>
      </c>
      <c r="I91" s="39">
        <f>_xlfn.IFERROR(VLOOKUP($P91,'Rd4 Sandown'!$C$2:$AC$30,17,0),0)</f>
        <v>0</v>
      </c>
      <c r="J91" s="39">
        <f>_xlfn.IFERROR(VLOOKUP($P91,'Rd5 Winton'!$C$2:$AC$29,17,0),0)</f>
        <v>0</v>
      </c>
      <c r="K91" s="39">
        <f>_xlfn.IFERROR(VLOOKUP($P91,'Rd6 PI'!$C$2:$AC$29,17,0),0)</f>
        <v>0</v>
      </c>
      <c r="L91" s="39">
        <f>_xlfn.IFERROR(VLOOKUP($P91,'Rd7 Winton'!$C$2:$AC$29,17,0),0)</f>
        <v>0</v>
      </c>
      <c r="M91" s="39">
        <f>_xlfn.IFERROR(VLOOKUP($P91,#REF!,17,0),0)</f>
        <v>0</v>
      </c>
      <c r="N91" s="39">
        <f>_xlfn.IFERROR(VLOOKUP($P91,#REF!,17,0),0)</f>
        <v>0</v>
      </c>
      <c r="O91" s="39">
        <f>_xlfn.IFERROR(VLOOKUP($P91,#REF!,17,0),0)</f>
        <v>0</v>
      </c>
      <c r="P91" s="5" t="str">
        <f>CONCATENATE(LOWER(B91)," ",LOWER(C91))</f>
        <v> </v>
      </c>
    </row>
    <row r="92" spans="1:16" s="5" customFormat="1" ht="12">
      <c r="A92" s="37">
        <v>4</v>
      </c>
      <c r="B92" s="114"/>
      <c r="C92" s="114"/>
      <c r="D92" s="38" t="s">
        <v>52</v>
      </c>
      <c r="E92" s="94">
        <f>SUM(F92:O92)-SMALL(F92:O92,2)-MIN(F92:O92)</f>
        <v>0</v>
      </c>
      <c r="F92" s="288">
        <f>_xlfn.IFERROR(VLOOKUP($P92,'Rd1 PI'!$C$2:$AC$21,17,0),0)</f>
        <v>0</v>
      </c>
      <c r="G92" s="39">
        <f>_xlfn.IFERROR(VLOOKUP($P92,'Rd2 Winton'!$C$2:$AC$24,17,0),0)</f>
        <v>0</v>
      </c>
      <c r="H92" s="513">
        <f>_xlfn.IFERROR(VLOOKUP($P92,'Rd3 Winton IC'!$C$2:$AC$56,17,0),0)</f>
        <v>0</v>
      </c>
      <c r="I92" s="39">
        <f>_xlfn.IFERROR(VLOOKUP($P92,'Rd4 Sandown'!$C$2:$AC$30,17,0),0)</f>
        <v>0</v>
      </c>
      <c r="J92" s="39">
        <f>_xlfn.IFERROR(VLOOKUP($P92,'Rd5 Winton'!$C$2:$AC$29,17,0),0)</f>
        <v>0</v>
      </c>
      <c r="K92" s="39">
        <f>_xlfn.IFERROR(VLOOKUP($P92,'Rd6 PI'!$C$2:$AC$29,17,0),0)</f>
        <v>0</v>
      </c>
      <c r="L92" s="39">
        <f>_xlfn.IFERROR(VLOOKUP($P92,'Rd7 Winton'!$C$2:$AC$29,17,0),0)</f>
        <v>0</v>
      </c>
      <c r="M92" s="39">
        <f>_xlfn.IFERROR(VLOOKUP($P92,#REF!,17,0),0)</f>
        <v>0</v>
      </c>
      <c r="N92" s="39">
        <f>_xlfn.IFERROR(VLOOKUP($P92,#REF!,17,0),0)</f>
        <v>0</v>
      </c>
      <c r="O92" s="39">
        <f>_xlfn.IFERROR(VLOOKUP($P92,#REF!,17,0),0)</f>
        <v>0</v>
      </c>
      <c r="P92" s="5" t="str">
        <f>CONCATENATE(LOWER(B92)," ",LOWER(C92))</f>
        <v> </v>
      </c>
    </row>
    <row r="93" spans="1:16" s="5" customFormat="1" ht="12.75" thickBot="1">
      <c r="A93" s="37">
        <v>5</v>
      </c>
      <c r="B93" s="114"/>
      <c r="C93" s="114"/>
      <c r="D93" s="38" t="s">
        <v>52</v>
      </c>
      <c r="E93" s="95">
        <f>SUM(F93:O93)-SMALL(F93:O93,2)-MIN(F93:O93)</f>
        <v>0</v>
      </c>
      <c r="F93" s="288">
        <f>_xlfn.IFERROR(VLOOKUP($P93,'Rd1 PI'!$C$2:$AC$21,17,0),0)</f>
        <v>0</v>
      </c>
      <c r="G93" s="39">
        <f>_xlfn.IFERROR(VLOOKUP($P93,'Rd2 Winton'!$C$2:$AC$24,17,0),0)</f>
        <v>0</v>
      </c>
      <c r="H93" s="513">
        <f>_xlfn.IFERROR(VLOOKUP($P93,'Rd3 Winton IC'!$C$2:$AC$56,17,0),0)</f>
        <v>0</v>
      </c>
      <c r="I93" s="39">
        <f>_xlfn.IFERROR(VLOOKUP($P93,'Rd4 Sandown'!$C$2:$AC$30,17,0),0)</f>
        <v>0</v>
      </c>
      <c r="J93" s="39">
        <f>_xlfn.IFERROR(VLOOKUP($P93,'Rd5 Winton'!$C$2:$AC$29,17,0),0)</f>
        <v>0</v>
      </c>
      <c r="K93" s="39">
        <f>_xlfn.IFERROR(VLOOKUP($P93,'Rd6 PI'!$C$2:$AC$29,17,0),0)</f>
        <v>0</v>
      </c>
      <c r="L93" s="39">
        <f>_xlfn.IFERROR(VLOOKUP($P93,'Rd7 Winton'!$C$2:$AC$29,17,0),0)</f>
        <v>0</v>
      </c>
      <c r="M93" s="39">
        <f>_xlfn.IFERROR(VLOOKUP($P93,#REF!,17,0),0)</f>
        <v>0</v>
      </c>
      <c r="N93" s="39">
        <f>_xlfn.IFERROR(VLOOKUP($P93,#REF!,17,0),0)</f>
        <v>0</v>
      </c>
      <c r="O93" s="39">
        <f>_xlfn.IFERROR(VLOOKUP($P93,#REF!,17,0),0)</f>
        <v>0</v>
      </c>
      <c r="P93" s="5" t="str">
        <f>CONCATENATE(LOWER(B93)," ",LOWER(C93))</f>
        <v> </v>
      </c>
    </row>
    <row r="94" spans="1:17" ht="12">
      <c r="A94" s="13"/>
      <c r="B94" s="5"/>
      <c r="C94" s="5"/>
      <c r="D94" s="23"/>
      <c r="E94" s="24"/>
      <c r="F94" s="4"/>
      <c r="G94" s="4"/>
      <c r="H94" s="4"/>
      <c r="I94" s="12"/>
      <c r="J94" s="12"/>
      <c r="K94" s="12"/>
      <c r="L94" s="4"/>
      <c r="M94" s="4"/>
      <c r="N94" s="4"/>
      <c r="O94" s="4"/>
      <c r="P94" s="14"/>
      <c r="Q94" s="15"/>
    </row>
    <row r="95" spans="1:15" s="5" customFormat="1" ht="12.75" thickBot="1">
      <c r="A95" s="152" t="s">
        <v>17</v>
      </c>
      <c r="B95" s="153"/>
      <c r="C95" s="153"/>
      <c r="D95" s="15"/>
      <c r="E95" s="24"/>
      <c r="F95" s="4"/>
      <c r="G95" s="4"/>
      <c r="H95" s="4"/>
      <c r="I95" s="4"/>
      <c r="J95" s="4"/>
      <c r="K95" s="4"/>
      <c r="L95" s="4"/>
      <c r="M95" s="4"/>
      <c r="N95" s="4"/>
      <c r="O95" s="4"/>
    </row>
    <row r="96" spans="1:16" s="5" customFormat="1" ht="12">
      <c r="A96" s="122">
        <v>1</v>
      </c>
      <c r="B96" s="127" t="s">
        <v>144</v>
      </c>
      <c r="C96" s="127" t="s">
        <v>145</v>
      </c>
      <c r="D96" s="123" t="s">
        <v>16</v>
      </c>
      <c r="E96" s="124">
        <f>SUM(F96:O96)-SMALL(F96:O96,2)-MIN(F96:O96)</f>
        <v>700</v>
      </c>
      <c r="F96" s="174">
        <f>_xlfn.IFERROR(VLOOKUP($P96,'Rd1 PI'!$C$2:$AC$21,17,0),0)</f>
        <v>100</v>
      </c>
      <c r="G96" s="125">
        <f>_xlfn.IFERROR(VLOOKUP($P96,'Rd2 Winton'!$C$2:$AC$24,17,0),0)</f>
        <v>100</v>
      </c>
      <c r="H96" s="125">
        <f>_xlfn.IFERROR(VLOOKUP($P96,'Rd3 Winton IC'!$C$2:$AC$56,17,0),0)</f>
        <v>100</v>
      </c>
      <c r="I96" s="125">
        <f>_xlfn.IFERROR(VLOOKUP($P96,'Rd4 Sandown'!$C$2:$AC$30,17,0),0)</f>
        <v>100</v>
      </c>
      <c r="J96" s="125">
        <f>_xlfn.IFERROR(VLOOKUP($P96,'Rd5 Winton'!$C$2:$AC$29,17,0),0)</f>
        <v>100</v>
      </c>
      <c r="K96" s="125">
        <f>_xlfn.IFERROR(VLOOKUP($P96,'Rd6 PI'!$C$2:$AC$29,17,0),0)</f>
        <v>100</v>
      </c>
      <c r="L96" s="125">
        <f>_xlfn.IFERROR(VLOOKUP($P96,'Rd7 Winton'!$C$2:$AC$29,17,0),0)</f>
        <v>100</v>
      </c>
      <c r="M96" s="125">
        <f>_xlfn.IFERROR(VLOOKUP($P96,#REF!,17,0),0)</f>
        <v>0</v>
      </c>
      <c r="N96" s="125">
        <f>_xlfn.IFERROR(VLOOKUP($P96,#REF!,17,0),0)</f>
        <v>0</v>
      </c>
      <c r="O96" s="125">
        <f>_xlfn.IFERROR(VLOOKUP($P96,#REF!,17,0),0)</f>
        <v>0</v>
      </c>
      <c r="P96" s="5" t="str">
        <f>CONCATENATE(LOWER(B96)," ",LOWER(C96))</f>
        <v>russell garner</v>
      </c>
    </row>
    <row r="97" spans="1:16" s="5" customFormat="1" ht="12">
      <c r="A97" s="122">
        <v>2</v>
      </c>
      <c r="B97" s="127" t="s">
        <v>183</v>
      </c>
      <c r="C97" s="127" t="s">
        <v>184</v>
      </c>
      <c r="D97" s="123" t="s">
        <v>16</v>
      </c>
      <c r="E97" s="126">
        <f>SUM(F97:O97)-SMALL(F97:O97,2)-MIN(F97:O97)</f>
        <v>225</v>
      </c>
      <c r="F97" s="174">
        <f>_xlfn.IFERROR(VLOOKUP($P97,'Rd1 PI'!$C$2:$AC$21,17,0),0)</f>
        <v>0</v>
      </c>
      <c r="G97" s="125">
        <f>_xlfn.IFERROR(VLOOKUP($P97,'Rd2 Winton'!$C$2:$AC$24,17,0),0)</f>
        <v>75</v>
      </c>
      <c r="H97" s="125">
        <f>_xlfn.IFERROR(VLOOKUP($P97,'Rd3 Winton IC'!$C$2:$AC$56,17,0),0)</f>
        <v>75</v>
      </c>
      <c r="I97" s="125">
        <f>_xlfn.IFERROR(VLOOKUP($P97,'Rd4 Sandown'!$C$2:$AC$30,17,0),0)</f>
        <v>0</v>
      </c>
      <c r="J97" s="125">
        <f>_xlfn.IFERROR(VLOOKUP($P97,'Rd5 Winton'!$C$2:$AC$29,17,0),0)</f>
        <v>0</v>
      </c>
      <c r="K97" s="125">
        <f>_xlfn.IFERROR(VLOOKUP($P97,'Rd6 PI'!$C$2:$AC$29,17,0),0)</f>
        <v>75</v>
      </c>
      <c r="L97" s="125">
        <f>_xlfn.IFERROR(VLOOKUP($P97,'Rd7 Winton'!$C$2:$AC$29,17,0),0)</f>
        <v>0</v>
      </c>
      <c r="M97" s="125">
        <f>_xlfn.IFERROR(VLOOKUP($P97,#REF!,17,0),0)</f>
        <v>0</v>
      </c>
      <c r="N97" s="125">
        <f>_xlfn.IFERROR(VLOOKUP($P97,#REF!,17,0),0)</f>
        <v>0</v>
      </c>
      <c r="O97" s="125">
        <f>_xlfn.IFERROR(VLOOKUP($P97,#REF!,17,0),0)</f>
        <v>0</v>
      </c>
      <c r="P97" s="5" t="str">
        <f>CONCATENATE(LOWER(B97)," ",LOWER(C97))</f>
        <v>dean watchorn</v>
      </c>
    </row>
    <row r="98" spans="1:16" s="5" customFormat="1" ht="12">
      <c r="A98" s="122">
        <v>3</v>
      </c>
      <c r="B98" s="127" t="s">
        <v>65</v>
      </c>
      <c r="C98" s="127" t="s">
        <v>373</v>
      </c>
      <c r="D98" s="123" t="s">
        <v>16</v>
      </c>
      <c r="E98" s="126">
        <f>SUM(F98:O98)-SMALL(F98:O98,2)-MIN(F98:O98)</f>
        <v>60</v>
      </c>
      <c r="F98" s="174">
        <f>_xlfn.IFERROR(VLOOKUP($P98,'Rd1 PI'!$C$2:$AC$21,17,0),0)</f>
        <v>0</v>
      </c>
      <c r="G98" s="125">
        <f>_xlfn.IFERROR(VLOOKUP($P98,'Rd2 Winton'!$C$2:$AC$24,17,0),0)</f>
        <v>0</v>
      </c>
      <c r="H98" s="125">
        <f>_xlfn.IFERROR(VLOOKUP($P98,'Rd3 Winton IC'!$C$2:$AC$56,17,0),0)</f>
        <v>60</v>
      </c>
      <c r="I98" s="125">
        <f>_xlfn.IFERROR(VLOOKUP($P98,'Rd4 Sandown'!$C$2:$AC$30,17,0),0)</f>
        <v>0</v>
      </c>
      <c r="J98" s="125">
        <f>_xlfn.IFERROR(VLOOKUP($P98,'Rd5 Winton'!$C$2:$AC$29,17,0),0)</f>
        <v>0</v>
      </c>
      <c r="K98" s="125">
        <f>_xlfn.IFERROR(VLOOKUP($P98,'Rd6 PI'!$C$2:$AC$29,17,0),0)</f>
        <v>0</v>
      </c>
      <c r="L98" s="125">
        <f>_xlfn.IFERROR(VLOOKUP($P98,'Rd7 Winton'!$C$2:$AC$29,17,0),0)</f>
        <v>0</v>
      </c>
      <c r="M98" s="125">
        <f>_xlfn.IFERROR(VLOOKUP($P98,#REF!,17,0),0)</f>
        <v>0</v>
      </c>
      <c r="N98" s="125">
        <f>_xlfn.IFERROR(VLOOKUP($P98,#REF!,17,0),0)</f>
        <v>0</v>
      </c>
      <c r="O98" s="125">
        <f>_xlfn.IFERROR(VLOOKUP($P98,#REF!,17,0),0)</f>
        <v>0</v>
      </c>
      <c r="P98" s="5" t="str">
        <f>CONCATENATE(LOWER(B98)," ",LOWER(C98))</f>
        <v>robert parr</v>
      </c>
    </row>
    <row r="99" spans="1:16" s="5" customFormat="1" ht="12">
      <c r="A99" s="122">
        <v>4</v>
      </c>
      <c r="B99" s="127"/>
      <c r="C99" s="127"/>
      <c r="D99" s="123" t="s">
        <v>16</v>
      </c>
      <c r="E99" s="126">
        <f>SUM(F99:O99)-SMALL(F99:O99,2)-MIN(F99:O99)</f>
        <v>0</v>
      </c>
      <c r="F99" s="174">
        <f>_xlfn.IFERROR(VLOOKUP($P99,'Rd1 PI'!$C$2:$AC$21,17,0),0)</f>
        <v>0</v>
      </c>
      <c r="G99" s="125">
        <f>_xlfn.IFERROR(VLOOKUP($P99,'Rd2 Winton'!$C$2:$AC$24,17,0),0)</f>
        <v>0</v>
      </c>
      <c r="H99" s="125">
        <f>_xlfn.IFERROR(VLOOKUP($P99,'Rd3 Winton IC'!$C$2:$AC$56,17,0),0)</f>
        <v>0</v>
      </c>
      <c r="I99" s="125">
        <f>_xlfn.IFERROR(VLOOKUP($P99,'Rd4 Sandown'!$C$2:$AC$30,17,0),0)</f>
        <v>0</v>
      </c>
      <c r="J99" s="125">
        <f>_xlfn.IFERROR(VLOOKUP($P99,'Rd5 Winton'!$C$2:$AC$29,17,0),0)</f>
        <v>0</v>
      </c>
      <c r="K99" s="125">
        <f>_xlfn.IFERROR(VLOOKUP($P99,'Rd6 PI'!$C$2:$AC$29,17,0),0)</f>
        <v>0</v>
      </c>
      <c r="L99" s="125">
        <f>_xlfn.IFERROR(VLOOKUP($P99,'Rd7 Winton'!$C$2:$AC$29,17,0),0)</f>
        <v>0</v>
      </c>
      <c r="M99" s="125">
        <f>_xlfn.IFERROR(VLOOKUP($P99,#REF!,17,0),0)</f>
        <v>0</v>
      </c>
      <c r="N99" s="125">
        <f>_xlfn.IFERROR(VLOOKUP($P99,#REF!,17,0),0)</f>
        <v>0</v>
      </c>
      <c r="O99" s="125">
        <f>_xlfn.IFERROR(VLOOKUP($P99,#REF!,17,0),0)</f>
        <v>0</v>
      </c>
      <c r="P99" s="5" t="str">
        <f>CONCATENATE(LOWER(B99)," ",LOWER(C99))</f>
        <v> </v>
      </c>
    </row>
    <row r="100" spans="1:16" s="5" customFormat="1" ht="12.75" thickBot="1">
      <c r="A100" s="122">
        <v>5</v>
      </c>
      <c r="B100" s="128"/>
      <c r="C100" s="128"/>
      <c r="D100" s="123" t="s">
        <v>16</v>
      </c>
      <c r="E100" s="129">
        <f>SUM(F100:O100)-SMALL(F100:O100,2)-MIN(F100:O100)</f>
        <v>0</v>
      </c>
      <c r="F100" s="174">
        <f>_xlfn.IFERROR(VLOOKUP($P100,'Rd1 PI'!$C$2:$AC$21,17,0),0)</f>
        <v>0</v>
      </c>
      <c r="G100" s="125">
        <f>_xlfn.IFERROR(VLOOKUP($P100,'Rd2 Winton'!$C$2:$AC$24,17,0),0)</f>
        <v>0</v>
      </c>
      <c r="H100" s="125">
        <f>_xlfn.IFERROR(VLOOKUP($P100,'Rd3 Winton IC'!$C$2:$AC$56,17,0),0)</f>
        <v>0</v>
      </c>
      <c r="I100" s="125">
        <f>_xlfn.IFERROR(VLOOKUP($P100,'Rd4 Sandown'!$C$2:$AC$30,17,0),0)</f>
        <v>0</v>
      </c>
      <c r="J100" s="125">
        <f>_xlfn.IFERROR(VLOOKUP($P100,'Rd5 Winton'!$C$2:$AC$29,17,0),0)</f>
        <v>0</v>
      </c>
      <c r="K100" s="125">
        <f>_xlfn.IFERROR(VLOOKUP($P100,'Rd6 PI'!$C$2:$AC$29,17,0),0)</f>
        <v>0</v>
      </c>
      <c r="L100" s="125">
        <f>_xlfn.IFERROR(VLOOKUP($P100,'Rd7 Winton'!$C$2:$AC$29,17,0),0)</f>
        <v>0</v>
      </c>
      <c r="M100" s="125">
        <f>_xlfn.IFERROR(VLOOKUP($P100,#REF!,17,0),0)</f>
        <v>0</v>
      </c>
      <c r="N100" s="125">
        <f>_xlfn.IFERROR(VLOOKUP($P100,#REF!,17,0),0)</f>
        <v>0</v>
      </c>
      <c r="O100" s="125">
        <f>_xlfn.IFERROR(VLOOKUP($P100,#REF!,17,0),0)</f>
        <v>0</v>
      </c>
      <c r="P100" s="5" t="str">
        <f>CONCATENATE(LOWER(B100)," ",LOWER(C100))</f>
        <v> </v>
      </c>
    </row>
    <row r="101" spans="1:17" ht="12">
      <c r="A101" s="3"/>
      <c r="B101" s="22"/>
      <c r="C101" s="22"/>
      <c r="D101" s="23"/>
      <c r="E101" s="24"/>
      <c r="F101" s="4"/>
      <c r="G101" s="4"/>
      <c r="H101" s="4"/>
      <c r="I101" s="23"/>
      <c r="J101" s="4"/>
      <c r="K101" s="4"/>
      <c r="L101" s="4"/>
      <c r="M101" s="4"/>
      <c r="N101" s="4"/>
      <c r="O101" s="4"/>
      <c r="P101" s="14"/>
      <c r="Q101" s="15"/>
    </row>
    <row r="102" spans="1:15" s="5" customFormat="1" ht="12.75" thickBot="1">
      <c r="A102" s="82" t="s">
        <v>11</v>
      </c>
      <c r="B102" s="66"/>
      <c r="C102" s="66"/>
      <c r="D102" s="23"/>
      <c r="E102" s="24"/>
      <c r="F102" s="4"/>
      <c r="G102" s="4"/>
      <c r="H102" s="4"/>
      <c r="I102" s="12"/>
      <c r="J102" s="12"/>
      <c r="K102" s="12"/>
      <c r="L102" s="4"/>
      <c r="M102" s="4"/>
      <c r="N102" s="4"/>
      <c r="O102" s="4"/>
    </row>
    <row r="103" spans="1:16" s="5" customFormat="1" ht="12">
      <c r="A103" s="72">
        <v>1</v>
      </c>
      <c r="B103" s="70" t="s">
        <v>185</v>
      </c>
      <c r="C103" s="70" t="s">
        <v>186</v>
      </c>
      <c r="D103" s="67" t="s">
        <v>13</v>
      </c>
      <c r="E103" s="96">
        <f>SUM(F103:O103)-SMALL(F103:O103,2)-MIN(F103:O103)</f>
        <v>375</v>
      </c>
      <c r="F103" s="166">
        <f>_xlfn.IFERROR(VLOOKUP($P103,'Rd1 PI'!$C$2:$AC$21,17,0),0)</f>
        <v>0</v>
      </c>
      <c r="G103" s="68">
        <f>_xlfn.IFERROR(VLOOKUP($P103,'Rd2 Winton'!$C$2:$AC$24,17,0),0)</f>
        <v>100</v>
      </c>
      <c r="H103" s="500">
        <f>_xlfn.IFERROR(VLOOKUP($P103,'Rd3 Winton IC'!$C$2:$AC$56,17,0),0)</f>
        <v>75</v>
      </c>
      <c r="I103" s="500">
        <f>_xlfn.IFERROR(VLOOKUP($P103,'Rd4 Sandown'!$C$2:$AC$30,17,0),0)</f>
        <v>0</v>
      </c>
      <c r="J103" s="500">
        <f>_xlfn.IFERROR(VLOOKUP($P103,'Rd5 Winton'!$C$2:$AC$29,17,0),0)</f>
        <v>0</v>
      </c>
      <c r="K103" s="500">
        <f>_xlfn.IFERROR(VLOOKUP($P103,'Rd6 PI'!$C$2:$AC$29,17,0),0)</f>
        <v>100</v>
      </c>
      <c r="L103" s="643">
        <f>_xlfn.IFERROR(VLOOKUP($P103,'Rd7 Winton'!$C$2:$AC$29,17,0),0)</f>
        <v>100</v>
      </c>
      <c r="M103" s="68">
        <f>_xlfn.IFERROR(VLOOKUP($P103,#REF!,17,0),0)</f>
        <v>0</v>
      </c>
      <c r="N103" s="68">
        <f>_xlfn.IFERROR(VLOOKUP($P103,#REF!,17,0),0)</f>
        <v>0</v>
      </c>
      <c r="O103" s="68">
        <f>_xlfn.IFERROR(VLOOKUP($P103,#REF!,17,0),0)</f>
        <v>0</v>
      </c>
      <c r="P103" s="5" t="str">
        <f>CONCATENATE(LOWER(B103)," ",LOWER(C103))</f>
        <v>paul ledwith</v>
      </c>
    </row>
    <row r="104" spans="1:17" s="5" customFormat="1" ht="12">
      <c r="A104" s="72">
        <v>2</v>
      </c>
      <c r="B104" s="70" t="s">
        <v>199</v>
      </c>
      <c r="C104" s="70" t="s">
        <v>200</v>
      </c>
      <c r="D104" s="67" t="s">
        <v>13</v>
      </c>
      <c r="E104" s="97">
        <f>SUM(F104:O104)-SMALL(F104:O104,2)-MIN(F104:O104)</f>
        <v>310</v>
      </c>
      <c r="F104" s="166">
        <f>_xlfn.IFERROR(VLOOKUP($P104,'Rd1 PI'!$C$2:$AC$21,17,0),0)</f>
        <v>100</v>
      </c>
      <c r="G104" s="68">
        <f>_xlfn.IFERROR(VLOOKUP($P104,'Rd2 Winton'!$C$2:$AC$24,17,0),0)</f>
        <v>75</v>
      </c>
      <c r="H104" s="500">
        <f>_xlfn.IFERROR(VLOOKUP($P104,'Rd3 Winton IC'!$C$2:$AC$56,17,0),0)</f>
        <v>60</v>
      </c>
      <c r="I104" s="500">
        <f>_xlfn.IFERROR(VLOOKUP($P104,'Rd4 Sandown'!$C$2:$AC$30,17,0),0)</f>
        <v>75</v>
      </c>
      <c r="J104" s="500">
        <f>_xlfn.IFERROR(VLOOKUP($P104,'Rd5 Winton'!$C$2:$AC$29,17,0),0)</f>
        <v>0</v>
      </c>
      <c r="K104" s="500">
        <f>_xlfn.IFERROR(VLOOKUP($P104,'Rd6 PI'!$C$2:$AC$29,17,0),0)</f>
        <v>0</v>
      </c>
      <c r="L104" s="643">
        <f>_xlfn.IFERROR(VLOOKUP($P104,'Rd7 Winton'!$C$2:$AC$29,17,0),0)</f>
        <v>0</v>
      </c>
      <c r="M104" s="68">
        <f>_xlfn.IFERROR(VLOOKUP($P104,#REF!,17,0),0)</f>
        <v>0</v>
      </c>
      <c r="N104" s="68">
        <f>_xlfn.IFERROR(VLOOKUP($P104,#REF!,17,0),0)</f>
        <v>0</v>
      </c>
      <c r="O104" s="68">
        <f>_xlfn.IFERROR(VLOOKUP($P104,#REF!,17,0),0)</f>
        <v>0</v>
      </c>
      <c r="P104" s="5" t="str">
        <f>CONCATENATE(LOWER(B104)," ",LOWER(C104))</f>
        <v>ray monik</v>
      </c>
      <c r="Q104" s="15"/>
    </row>
    <row r="105" spans="1:17" ht="12">
      <c r="A105" s="72">
        <v>3</v>
      </c>
      <c r="B105" s="70" t="s">
        <v>29</v>
      </c>
      <c r="C105" s="70" t="s">
        <v>30</v>
      </c>
      <c r="D105" s="67" t="s">
        <v>13</v>
      </c>
      <c r="E105" s="97">
        <f>SUM(F105:O105)-SMALL(F105:O105,2)-MIN(F105:O105)</f>
        <v>240</v>
      </c>
      <c r="F105" s="166">
        <f>_xlfn.IFERROR(VLOOKUP($P105,'Rd1 PI'!$C$2:$AC$21,17,0),0)</f>
        <v>75</v>
      </c>
      <c r="G105" s="68">
        <f>_xlfn.IFERROR(VLOOKUP($P105,'Rd2 Winton'!$C$2:$AC$24,17,0),0)</f>
        <v>60</v>
      </c>
      <c r="H105" s="500">
        <f>_xlfn.IFERROR(VLOOKUP($P105,'Rd3 Winton IC'!$C$2:$AC$56,17,0),0)</f>
        <v>30</v>
      </c>
      <c r="I105" s="500">
        <f>_xlfn.IFERROR(VLOOKUP($P105,'Rd4 Sandown'!$C$2:$AC$30,17,0),0)</f>
        <v>0</v>
      </c>
      <c r="J105" s="500">
        <f>_xlfn.IFERROR(VLOOKUP($P105,'Rd5 Winton'!$C$2:$AC$29,17,0),0)</f>
        <v>0</v>
      </c>
      <c r="K105" s="500">
        <f>_xlfn.IFERROR(VLOOKUP($P105,'Rd6 PI'!$C$2:$AC$29,17,0),0)</f>
        <v>0</v>
      </c>
      <c r="L105" s="643">
        <f>_xlfn.IFERROR(VLOOKUP($P105,'Rd7 Winton'!$C$2:$AC$29,17,0),0)</f>
        <v>75</v>
      </c>
      <c r="M105" s="68">
        <f>_xlfn.IFERROR(VLOOKUP($P105,#REF!,17,0),0)</f>
        <v>0</v>
      </c>
      <c r="N105" s="68">
        <f>_xlfn.IFERROR(VLOOKUP($P105,#REF!,17,0),0)</f>
        <v>0</v>
      </c>
      <c r="O105" s="68">
        <f>_xlfn.IFERROR(VLOOKUP($P105,#REF!,17,0),0)</f>
        <v>0</v>
      </c>
      <c r="P105" s="5" t="str">
        <f>CONCATENATE(LOWER(B105)," ",LOWER(C105))</f>
        <v>tim meaden</v>
      </c>
      <c r="Q105" s="5"/>
    </row>
    <row r="106" spans="1:17" ht="12">
      <c r="A106" s="73">
        <v>4</v>
      </c>
      <c r="B106" s="70" t="s">
        <v>183</v>
      </c>
      <c r="C106" s="70" t="s">
        <v>200</v>
      </c>
      <c r="D106" s="67" t="s">
        <v>13</v>
      </c>
      <c r="E106" s="97">
        <f>SUM(F106:O106)-SMALL(F106:O106,2)-MIN(F106:O106)</f>
        <v>200</v>
      </c>
      <c r="F106" s="166">
        <f>_xlfn.IFERROR(VLOOKUP($P106,'Rd1 PI'!$C$2:$AC$21,17,0),0)</f>
        <v>0</v>
      </c>
      <c r="G106" s="68">
        <f>_xlfn.IFERROR(VLOOKUP($P106,'Rd2 Winton'!$C$2:$AC$24,17,0),0)</f>
        <v>0</v>
      </c>
      <c r="H106" s="500">
        <f>_xlfn.IFERROR(VLOOKUP($P106,'Rd3 Winton IC'!$C$2:$AC$56,17,0),0)</f>
        <v>100</v>
      </c>
      <c r="I106" s="500">
        <f>_xlfn.IFERROR(VLOOKUP($P106,'Rd4 Sandown'!$C$2:$AC$30,17,0),0)</f>
        <v>100</v>
      </c>
      <c r="J106" s="500">
        <f>_xlfn.IFERROR(VLOOKUP($P106,'Rd5 Winton'!$C$2:$AC$29,17,0),0)</f>
        <v>0</v>
      </c>
      <c r="K106" s="500">
        <f>_xlfn.IFERROR(VLOOKUP($P106,'Rd6 PI'!$C$2:$AC$29,17,0),0)</f>
        <v>0</v>
      </c>
      <c r="L106" s="643">
        <f>_xlfn.IFERROR(VLOOKUP($P106,'Rd7 Winton'!$C$2:$AC$29,17,0),0)</f>
        <v>0</v>
      </c>
      <c r="M106" s="68">
        <f>_xlfn.IFERROR(VLOOKUP($P106,#REF!,17,0),0)</f>
        <v>0</v>
      </c>
      <c r="N106" s="68">
        <f>_xlfn.IFERROR(VLOOKUP($P106,#REF!,17,0),0)</f>
        <v>0</v>
      </c>
      <c r="O106" s="68">
        <f>_xlfn.IFERROR(VLOOKUP($P106,#REF!,17,0),0)</f>
        <v>0</v>
      </c>
      <c r="P106" s="5" t="str">
        <f>CONCATENATE(LOWER(B106)," ",LOWER(C106))</f>
        <v>dean monik</v>
      </c>
      <c r="Q106" s="15"/>
    </row>
    <row r="107" spans="1:17" ht="12.75" thickBot="1">
      <c r="A107" s="73">
        <v>5</v>
      </c>
      <c r="B107" s="115" t="s">
        <v>371</v>
      </c>
      <c r="C107" s="115" t="s">
        <v>372</v>
      </c>
      <c r="D107" s="67" t="s">
        <v>13</v>
      </c>
      <c r="E107" s="98">
        <f>SUM(F107:O107)-SMALL(F107:O107,2)-MIN(F107:O107)</f>
        <v>45</v>
      </c>
      <c r="F107" s="166">
        <f>_xlfn.IFERROR(VLOOKUP($P107,'Rd1 PI'!$C$2:$AC$21,17,0),0)</f>
        <v>0</v>
      </c>
      <c r="G107" s="68">
        <f>_xlfn.IFERROR(VLOOKUP($P107,'Rd2 Winton'!$C$2:$AC$24,17,0),0)</f>
        <v>0</v>
      </c>
      <c r="H107" s="500">
        <f>_xlfn.IFERROR(VLOOKUP($P107,'Rd3 Winton IC'!$C$2:$AC$56,17,0),0)</f>
        <v>45</v>
      </c>
      <c r="I107" s="500">
        <f>_xlfn.IFERROR(VLOOKUP($P107,'Rd4 Sandown'!$C$2:$AC$30,17,0),0)</f>
        <v>0</v>
      </c>
      <c r="J107" s="500">
        <f>_xlfn.IFERROR(VLOOKUP($P107,'Rd5 Winton'!$C$2:$AC$29,17,0),0)</f>
        <v>0</v>
      </c>
      <c r="K107" s="500">
        <f>_xlfn.IFERROR(VLOOKUP($P107,'Rd6 PI'!$C$2:$AC$29,17,0),0)</f>
        <v>0</v>
      </c>
      <c r="L107" s="643">
        <f>_xlfn.IFERROR(VLOOKUP($P107,'Rd7 Winton'!$C$2:$AC$29,17,0),0)</f>
        <v>0</v>
      </c>
      <c r="M107" s="68">
        <f>_xlfn.IFERROR(VLOOKUP($P107,#REF!,17,0),0)</f>
        <v>0</v>
      </c>
      <c r="N107" s="68">
        <f>_xlfn.IFERROR(VLOOKUP($P107,#REF!,17,0),0)</f>
        <v>0</v>
      </c>
      <c r="O107" s="68">
        <f>_xlfn.IFERROR(VLOOKUP($P107,#REF!,17,0),0)</f>
        <v>0</v>
      </c>
      <c r="P107" s="5" t="str">
        <f>CONCATENATE(LOWER(B107)," ",LOWER(C107))</f>
        <v>kim cole</v>
      </c>
      <c r="Q107" s="15"/>
    </row>
    <row r="108" spans="1:15" ht="12">
      <c r="A108" s="29"/>
      <c r="B108" s="11"/>
      <c r="C108" s="11"/>
      <c r="F108" s="4"/>
      <c r="G108" s="364"/>
      <c r="H108" s="4"/>
      <c r="I108" s="12"/>
      <c r="J108" s="12"/>
      <c r="K108" s="12"/>
      <c r="L108" s="4"/>
      <c r="M108" s="4"/>
      <c r="N108" s="4"/>
      <c r="O108" s="4"/>
    </row>
    <row r="109" spans="1:15" s="5" customFormat="1" ht="12.75" thickBot="1">
      <c r="A109" s="59" t="s">
        <v>10</v>
      </c>
      <c r="B109" s="49"/>
      <c r="C109" s="49"/>
      <c r="D109" s="7"/>
      <c r="E109" s="24"/>
      <c r="F109" s="4"/>
      <c r="G109" s="364"/>
      <c r="H109" s="4"/>
      <c r="I109" s="12"/>
      <c r="J109" s="12"/>
      <c r="K109" s="12"/>
      <c r="L109" s="4"/>
      <c r="M109" s="4"/>
      <c r="N109" s="4"/>
      <c r="O109" s="4"/>
    </row>
    <row r="110" spans="1:16" s="5" customFormat="1" ht="12">
      <c r="A110" s="60">
        <v>1</v>
      </c>
      <c r="B110" s="61" t="s">
        <v>81</v>
      </c>
      <c r="C110" s="61" t="s">
        <v>146</v>
      </c>
      <c r="D110" s="58" t="s">
        <v>14</v>
      </c>
      <c r="E110" s="99">
        <f>SUM(F110:O110)-SMALL(F110:O110,2)-MIN(F110:O110)</f>
        <v>100</v>
      </c>
      <c r="F110" s="164">
        <f>_xlfn.IFERROR(VLOOKUP($P110,'Rd1 PI'!$C$2:$AC$21,17,0),0)</f>
        <v>100</v>
      </c>
      <c r="G110" s="57">
        <f>_xlfn.IFERROR(VLOOKUP($P110,'Rd2 Winton'!$C$2:$AC$24,17,0),0)</f>
        <v>0</v>
      </c>
      <c r="H110" s="57">
        <f>_xlfn.IFERROR(VLOOKUP($P110,'Rd3 Winton IC'!$C$2:$AC$56,17,0),0)</f>
        <v>0</v>
      </c>
      <c r="I110" s="57">
        <f>_xlfn.IFERROR(VLOOKUP($P110,'Rd4 Sandown'!$C$2:$AC$30,17,0),0)</f>
        <v>0</v>
      </c>
      <c r="J110" s="57">
        <f>_xlfn.IFERROR(VLOOKUP($P110,'Rd5 Winton'!$C$2:$AC$29,17,0),0)</f>
        <v>0</v>
      </c>
      <c r="K110" s="57">
        <f>_xlfn.IFERROR(VLOOKUP($P110,'Rd6 PI'!$C$2:$AC$29,17,0),0)</f>
        <v>0</v>
      </c>
      <c r="L110" s="57">
        <f>_xlfn.IFERROR(VLOOKUP($P110,'Rd7 Winton'!$C$2:$AC$29,17,0),0)</f>
        <v>0</v>
      </c>
      <c r="M110" s="57">
        <f>_xlfn.IFERROR(VLOOKUP($P110,#REF!,17,0),0)</f>
        <v>0</v>
      </c>
      <c r="N110" s="57">
        <f>_xlfn.IFERROR(VLOOKUP($P110,#REF!,17,0),0)</f>
        <v>0</v>
      </c>
      <c r="O110" s="57">
        <f>_xlfn.IFERROR(VLOOKUP($P110,#REF!,17,0),0)</f>
        <v>0</v>
      </c>
      <c r="P110" s="5" t="str">
        <f>CONCATENATE(LOWER(B110)," ",LOWER(C110))</f>
        <v>john vaughan</v>
      </c>
    </row>
    <row r="111" spans="1:16" s="5" customFormat="1" ht="12">
      <c r="A111" s="60">
        <v>2</v>
      </c>
      <c r="B111" s="116" t="s">
        <v>427</v>
      </c>
      <c r="C111" s="116" t="s">
        <v>428</v>
      </c>
      <c r="D111" s="58" t="s">
        <v>14</v>
      </c>
      <c r="E111" s="100">
        <f>SUM(F111:O111)-SMALL(F111:O111,2)-MIN(F111:O111)</f>
        <v>100</v>
      </c>
      <c r="F111" s="164">
        <f>_xlfn.IFERROR(VLOOKUP($P111,'Rd1 PI'!$C$2:$AC$21,17,0),0)</f>
        <v>0</v>
      </c>
      <c r="G111" s="57">
        <f>_xlfn.IFERROR(VLOOKUP($P111,'Rd2 Winton'!$C$2:$AC$24,17,0),0)</f>
        <v>0</v>
      </c>
      <c r="H111" s="57">
        <f>_xlfn.IFERROR(VLOOKUP($P111,'Rd3 Winton IC'!$C$2:$AC$56,17,0),0)</f>
        <v>0</v>
      </c>
      <c r="I111" s="57">
        <f>_xlfn.IFERROR(VLOOKUP($P111,'Rd4 Sandown'!$C$2:$AC$30,17,0),0)</f>
        <v>100</v>
      </c>
      <c r="J111" s="57">
        <f>_xlfn.IFERROR(VLOOKUP($P111,'Rd5 Winton'!$C$2:$AC$29,17,0),0)</f>
        <v>0</v>
      </c>
      <c r="K111" s="57">
        <f>_xlfn.IFERROR(VLOOKUP($P111,'Rd6 PI'!$C$2:$AC$29,17,0),0)</f>
        <v>0</v>
      </c>
      <c r="L111" s="57">
        <f>_xlfn.IFERROR(VLOOKUP($P111,'Rd7 Winton'!$C$2:$AC$29,17,0),0)</f>
        <v>0</v>
      </c>
      <c r="M111" s="57">
        <f>_xlfn.IFERROR(VLOOKUP($P111,#REF!,17,0),0)</f>
        <v>0</v>
      </c>
      <c r="N111" s="57">
        <f>_xlfn.IFERROR(VLOOKUP($P111,#REF!,17,0),0)</f>
        <v>0</v>
      </c>
      <c r="O111" s="57">
        <f>_xlfn.IFERROR(VLOOKUP($P111,#REF!,17,0),0)</f>
        <v>0</v>
      </c>
      <c r="P111" s="5" t="str">
        <f>CONCATENATE(LOWER(B111)," ",LOWER(C111))</f>
        <v>brendan beavis</v>
      </c>
    </row>
    <row r="112" spans="1:16" s="5" customFormat="1" ht="12">
      <c r="A112" s="60">
        <v>3</v>
      </c>
      <c r="B112" s="116"/>
      <c r="C112" s="116"/>
      <c r="D112" s="58" t="s">
        <v>14</v>
      </c>
      <c r="E112" s="100">
        <f>SUM(F112:O112)-SMALL(F112:O112,2)-MIN(F112:O112)</f>
        <v>0</v>
      </c>
      <c r="F112" s="164">
        <f>_xlfn.IFERROR(VLOOKUP($P112,'Rd1 PI'!$C$2:$AC$21,17,0),0)</f>
        <v>0</v>
      </c>
      <c r="G112" s="57">
        <f>_xlfn.IFERROR(VLOOKUP($P112,'Rd2 Winton'!$C$2:$AC$24,17,0),0)</f>
        <v>0</v>
      </c>
      <c r="H112" s="57">
        <f>_xlfn.IFERROR(VLOOKUP($P112,'Rd3 Winton IC'!$C$2:$AC$56,17,0),0)</f>
        <v>0</v>
      </c>
      <c r="I112" s="57">
        <f>_xlfn.IFERROR(VLOOKUP($P112,'Rd4 Sandown'!$C$2:$AC$30,17,0),0)</f>
        <v>0</v>
      </c>
      <c r="J112" s="57">
        <f>_xlfn.IFERROR(VLOOKUP($P112,'Rd5 Winton'!$C$2:$AC$29,17,0),0)</f>
        <v>0</v>
      </c>
      <c r="K112" s="57">
        <f>_xlfn.IFERROR(VLOOKUP($P112,'Rd6 PI'!$C$2:$AC$29,17,0),0)</f>
        <v>0</v>
      </c>
      <c r="L112" s="57">
        <f>_xlfn.IFERROR(VLOOKUP($P112,'Rd7 Winton'!$C$2:$AC$29,17,0),0)</f>
        <v>0</v>
      </c>
      <c r="M112" s="57">
        <f>_xlfn.IFERROR(VLOOKUP($P112,#REF!,17,0),0)</f>
        <v>0</v>
      </c>
      <c r="N112" s="57">
        <f>_xlfn.IFERROR(VLOOKUP($P112,#REF!,17,0),0)</f>
        <v>0</v>
      </c>
      <c r="O112" s="57">
        <f>_xlfn.IFERROR(VLOOKUP($P112,#REF!,17,0),0)</f>
        <v>0</v>
      </c>
      <c r="P112" s="5" t="str">
        <f>CONCATENATE(LOWER(B112)," ",LOWER(C112))</f>
        <v> </v>
      </c>
    </row>
    <row r="113" spans="1:16" s="5" customFormat="1" ht="12">
      <c r="A113" s="60">
        <v>4</v>
      </c>
      <c r="B113" s="61"/>
      <c r="C113" s="61"/>
      <c r="D113" s="58" t="s">
        <v>14</v>
      </c>
      <c r="E113" s="100">
        <f>SUM(F113:O113)-SMALL(F113:O113,2)-MIN(F113:O113)</f>
        <v>0</v>
      </c>
      <c r="F113" s="164">
        <f>_xlfn.IFERROR(VLOOKUP($P113,'Rd1 PI'!$C$2:$AC$21,17,0),0)</f>
        <v>0</v>
      </c>
      <c r="G113" s="57">
        <f>_xlfn.IFERROR(VLOOKUP($P113,'Rd2 Winton'!$C$2:$AC$24,17,0),0)</f>
        <v>0</v>
      </c>
      <c r="H113" s="57">
        <f>_xlfn.IFERROR(VLOOKUP($P113,'Rd3 Winton IC'!$C$2:$AC$56,17,0),0)</f>
        <v>0</v>
      </c>
      <c r="I113" s="57">
        <f>_xlfn.IFERROR(VLOOKUP($P113,'Rd4 Sandown'!$C$2:$AC$30,17,0),0)</f>
        <v>0</v>
      </c>
      <c r="J113" s="57">
        <f>_xlfn.IFERROR(VLOOKUP($P113,'Rd5 Winton'!$C$2:$AC$29,17,0),0)</f>
        <v>0</v>
      </c>
      <c r="K113" s="57">
        <f>_xlfn.IFERROR(VLOOKUP($P113,'Rd6 PI'!$C$2:$AC$29,17,0),0)</f>
        <v>0</v>
      </c>
      <c r="L113" s="57">
        <f>_xlfn.IFERROR(VLOOKUP($P113,'Rd7 Winton'!$C$2:$AC$29,17,0),0)</f>
        <v>0</v>
      </c>
      <c r="M113" s="57">
        <f>_xlfn.IFERROR(VLOOKUP($P113,#REF!,17,0),0)</f>
        <v>0</v>
      </c>
      <c r="N113" s="57">
        <f>_xlfn.IFERROR(VLOOKUP($P113,#REF!,17,0),0)</f>
        <v>0</v>
      </c>
      <c r="O113" s="57">
        <f>_xlfn.IFERROR(VLOOKUP($P113,#REF!,17,0),0)</f>
        <v>0</v>
      </c>
      <c r="P113" s="5" t="str">
        <f>CONCATENATE(LOWER(B113)," ",LOWER(C113))</f>
        <v> </v>
      </c>
    </row>
    <row r="114" spans="1:16" s="5" customFormat="1" ht="12.75" thickBot="1">
      <c r="A114" s="60">
        <v>5</v>
      </c>
      <c r="B114" s="61"/>
      <c r="C114" s="61"/>
      <c r="D114" s="58" t="s">
        <v>14</v>
      </c>
      <c r="E114" s="101">
        <f>SUM(F114:O114)-SMALL(F114:O114,2)-MIN(F114:O114)</f>
        <v>0</v>
      </c>
      <c r="F114" s="164">
        <f>_xlfn.IFERROR(VLOOKUP($P114,'Rd1 PI'!$C$2:$AC$21,17,0),0)</f>
        <v>0</v>
      </c>
      <c r="G114" s="57">
        <f>_xlfn.IFERROR(VLOOKUP($P114,'Rd2 Winton'!$C$2:$AC$24,17,0),0)</f>
        <v>0</v>
      </c>
      <c r="H114" s="57">
        <f>_xlfn.IFERROR(VLOOKUP($P114,'Rd3 Winton IC'!$C$2:$AC$56,17,0),0)</f>
        <v>0</v>
      </c>
      <c r="I114" s="57">
        <f>_xlfn.IFERROR(VLOOKUP($P114,'Rd4 Sandown'!$C$2:$AC$30,17,0),0)</f>
        <v>0</v>
      </c>
      <c r="J114" s="57">
        <f>_xlfn.IFERROR(VLOOKUP($P114,'Rd5 Winton'!$C$2:$AC$29,17,0),0)</f>
        <v>0</v>
      </c>
      <c r="K114" s="57">
        <f>_xlfn.IFERROR(VLOOKUP($P114,'Rd6 PI'!$C$2:$AC$29,17,0),0)</f>
        <v>0</v>
      </c>
      <c r="L114" s="57">
        <f>_xlfn.IFERROR(VLOOKUP($P114,'Rd7 Winton'!$C$2:$AC$29,17,0),0)</f>
        <v>0</v>
      </c>
      <c r="M114" s="57">
        <f>_xlfn.IFERROR(VLOOKUP($P114,#REF!,17,0),0)</f>
        <v>0</v>
      </c>
      <c r="N114" s="57">
        <f>_xlfn.IFERROR(VLOOKUP($P114,#REF!,17,0),0)</f>
        <v>0</v>
      </c>
      <c r="O114" s="57">
        <f>_xlfn.IFERROR(VLOOKUP($P114,#REF!,17,0),0)</f>
        <v>0</v>
      </c>
      <c r="P114" s="5" t="str">
        <f>CONCATENATE(LOWER(B114)," ",LOWER(C114))</f>
        <v> </v>
      </c>
    </row>
    <row r="115" spans="2:3" ht="12">
      <c r="B115" s="6"/>
      <c r="C115" s="6"/>
    </row>
    <row r="116" ht="12">
      <c r="D116" s="17"/>
    </row>
    <row r="117" spans="4:12" ht="12">
      <c r="D117" s="28"/>
      <c r="E117" s="24"/>
      <c r="G117" s="20"/>
      <c r="H117" s="20"/>
      <c r="I117" s="20"/>
      <c r="J117" s="2"/>
      <c r="K117" s="20"/>
      <c r="L117" s="20"/>
    </row>
    <row r="118" spans="1:4" ht="12">
      <c r="A118" s="29"/>
      <c r="D118" s="17"/>
    </row>
    <row r="119" spans="2:4" ht="12">
      <c r="B119" s="21"/>
      <c r="C119" s="21"/>
      <c r="D119" s="17"/>
    </row>
    <row r="120" ht="12">
      <c r="D120" s="17"/>
    </row>
    <row r="121" ht="12">
      <c r="D121" s="17"/>
    </row>
    <row r="122" spans="2:4" ht="12">
      <c r="B122" s="6"/>
      <c r="C122" s="6"/>
      <c r="D122" s="17"/>
    </row>
    <row r="123" spans="1:4" ht="12">
      <c r="A123" s="29"/>
      <c r="B123" s="5"/>
      <c r="C123" s="5"/>
      <c r="D123" s="17"/>
    </row>
    <row r="124" spans="1:11" ht="12">
      <c r="A124" s="29"/>
      <c r="D124" s="17"/>
      <c r="G124" s="2"/>
      <c r="H124" s="2"/>
      <c r="I124" s="2"/>
      <c r="J124" s="2"/>
      <c r="K124" s="20"/>
    </row>
    <row r="125" spans="1:3" ht="12">
      <c r="A125" s="29"/>
      <c r="B125" s="21"/>
      <c r="C125" s="21"/>
    </row>
    <row r="126" spans="1:4" ht="12">
      <c r="A126" s="29"/>
      <c r="D126" s="17"/>
    </row>
    <row r="127" ht="12">
      <c r="A127" s="29"/>
    </row>
    <row r="128" ht="12">
      <c r="D128" s="17"/>
    </row>
    <row r="129" spans="1:4" ht="12">
      <c r="A129" s="29"/>
      <c r="D129" s="17"/>
    </row>
    <row r="130" spans="1:5" ht="12">
      <c r="A130" s="29"/>
      <c r="D130" s="7"/>
      <c r="E130" s="24"/>
    </row>
    <row r="131" spans="1:4" ht="12">
      <c r="A131" s="29"/>
      <c r="D131" s="17"/>
    </row>
    <row r="132" spans="1:5" ht="12">
      <c r="A132" s="29"/>
      <c r="D132" s="7"/>
      <c r="E132" s="24"/>
    </row>
    <row r="133" ht="12">
      <c r="A133" s="29"/>
    </row>
    <row r="134" ht="12">
      <c r="A134" s="29"/>
    </row>
    <row r="135" ht="12">
      <c r="A135" s="29"/>
    </row>
    <row r="136" ht="12">
      <c r="A136" s="29"/>
    </row>
    <row r="137" spans="1:3" ht="12">
      <c r="A137" s="29"/>
      <c r="B137" s="11"/>
      <c r="C137" s="11"/>
    </row>
    <row r="138" spans="1:5" ht="12">
      <c r="A138" s="29"/>
      <c r="D138" s="12"/>
      <c r="E138" s="24"/>
    </row>
  </sheetData>
  <sheetProtection/>
  <mergeCells count="1">
    <mergeCell ref="A1:O1"/>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G24"/>
  <sheetViews>
    <sheetView zoomScale="90" zoomScaleNormal="90" zoomScalePageLayoutView="0" workbookViewId="0" topLeftCell="A1">
      <selection activeCell="A2" sqref="A2"/>
    </sheetView>
  </sheetViews>
  <sheetFormatPr defaultColWidth="8.8515625" defaultRowHeight="12.75"/>
  <cols>
    <col min="1" max="1" width="8.140625" style="109" customWidth="1"/>
    <col min="2" max="2" width="23.7109375" style="110" customWidth="1"/>
    <col min="3" max="3" width="5.8515625" style="110" hidden="1" customWidth="1"/>
    <col min="4" max="4" width="7.7109375" style="110" bestFit="1" customWidth="1"/>
    <col min="5" max="5" width="9.7109375" style="110" customWidth="1"/>
    <col min="6" max="6" width="14.28125" style="110" bestFit="1" customWidth="1"/>
    <col min="7" max="7" width="9.28125" style="110" bestFit="1" customWidth="1"/>
    <col min="8" max="18" width="7.7109375" style="110" customWidth="1"/>
    <col min="19" max="19" width="6.7109375" style="110" customWidth="1"/>
    <col min="20" max="20" width="7.28125" style="110" bestFit="1" customWidth="1"/>
    <col min="21" max="21" width="8.28125" style="110" customWidth="1"/>
    <col min="22" max="22" width="8.8515625" style="154" customWidth="1"/>
    <col min="23" max="23" width="8.8515625" style="110" customWidth="1"/>
    <col min="24" max="24" width="14.28125" style="110" hidden="1" customWidth="1"/>
    <col min="25" max="27" width="8.8515625" style="110" hidden="1" customWidth="1"/>
    <col min="28" max="28" width="11.421875" style="110" hidden="1" customWidth="1"/>
    <col min="29" max="31" width="8.8515625" style="110" customWidth="1"/>
    <col min="32" max="32" width="22.28125" style="110" customWidth="1"/>
    <col min="33" max="33" width="10.28125" style="110" customWidth="1"/>
    <col min="34" max="16384" width="8.8515625" style="110" customWidth="1"/>
  </cols>
  <sheetData>
    <row r="1" spans="1:33" s="109" customFormat="1" ht="42.75" customHeight="1" thickBot="1">
      <c r="A1" s="179" t="s">
        <v>23</v>
      </c>
      <c r="B1" s="180" t="s">
        <v>1</v>
      </c>
      <c r="C1" s="181" t="s">
        <v>1</v>
      </c>
      <c r="D1" s="181" t="s">
        <v>2</v>
      </c>
      <c r="E1" s="182" t="s">
        <v>24</v>
      </c>
      <c r="F1" s="183"/>
      <c r="G1" s="183" t="s">
        <v>25</v>
      </c>
      <c r="H1" s="184" t="s">
        <v>14</v>
      </c>
      <c r="I1" s="185" t="s">
        <v>13</v>
      </c>
      <c r="J1" s="186" t="s">
        <v>16</v>
      </c>
      <c r="K1" s="187" t="s">
        <v>52</v>
      </c>
      <c r="L1" s="188" t="s">
        <v>51</v>
      </c>
      <c r="M1" s="189" t="s">
        <v>21</v>
      </c>
      <c r="N1" s="190" t="s">
        <v>22</v>
      </c>
      <c r="O1" s="191" t="s">
        <v>50</v>
      </c>
      <c r="P1" s="192" t="s">
        <v>4</v>
      </c>
      <c r="Q1" s="193" t="s">
        <v>5</v>
      </c>
      <c r="R1" s="194" t="s">
        <v>3</v>
      </c>
      <c r="S1" s="323" t="s">
        <v>64</v>
      </c>
      <c r="T1" s="202" t="s">
        <v>95</v>
      </c>
      <c r="U1" s="202" t="s">
        <v>60</v>
      </c>
      <c r="V1" s="205" t="s">
        <v>61</v>
      </c>
      <c r="W1" s="203" t="s">
        <v>63</v>
      </c>
      <c r="X1" s="324" t="s">
        <v>93</v>
      </c>
      <c r="Y1" s="324" t="s">
        <v>2</v>
      </c>
      <c r="Z1" s="324" t="s">
        <v>97</v>
      </c>
      <c r="AA1" s="324" t="s">
        <v>89</v>
      </c>
      <c r="AB1" s="324" t="s">
        <v>94</v>
      </c>
      <c r="AC1" s="323" t="s">
        <v>98</v>
      </c>
      <c r="AE1" s="660" t="s">
        <v>108</v>
      </c>
      <c r="AF1" s="660"/>
      <c r="AG1" s="660"/>
    </row>
    <row r="2" spans="1:33" ht="12.75">
      <c r="A2" s="169">
        <v>103</v>
      </c>
      <c r="B2" s="170" t="s">
        <v>106</v>
      </c>
      <c r="C2" s="317" t="str">
        <f>LOWER(B2)</f>
        <v>russell garner</v>
      </c>
      <c r="D2" s="437" t="s">
        <v>16</v>
      </c>
      <c r="E2" s="331" t="s">
        <v>119</v>
      </c>
      <c r="F2" s="170"/>
      <c r="G2" s="170" t="s">
        <v>54</v>
      </c>
      <c r="H2" s="263">
        <f aca="true" t="shared" si="0" ref="H2:R21">IF($D2=H$1,$S2,"")</f>
      </c>
      <c r="I2" s="263">
        <f t="shared" si="0"/>
      </c>
      <c r="J2" s="263">
        <f t="shared" si="0"/>
        <v>100</v>
      </c>
      <c r="K2" s="263">
        <f t="shared" si="0"/>
      </c>
      <c r="L2" s="263">
        <f t="shared" si="0"/>
      </c>
      <c r="M2" s="263">
        <f t="shared" si="0"/>
      </c>
      <c r="N2" s="263">
        <f t="shared" si="0"/>
      </c>
      <c r="O2" s="263">
        <f t="shared" si="0"/>
      </c>
      <c r="P2" s="263">
        <f t="shared" si="0"/>
      </c>
      <c r="Q2" s="263">
        <f t="shared" si="0"/>
      </c>
      <c r="R2" s="266">
        <f t="shared" si="0"/>
      </c>
      <c r="S2" s="168">
        <f aca="true" t="shared" si="1" ref="S2:S21">_xlfn.IFERROR(VLOOKUP($Z2,Points2018,2,0),0)</f>
        <v>100</v>
      </c>
      <c r="T2" s="169">
        <f aca="true" t="shared" si="2" ref="T2:T10">AB2-S2</f>
        <v>0</v>
      </c>
      <c r="U2" s="264">
        <f>_xlfn.IFERROR(VLOOKUP(D2,BenchmarksRd1,3,0)*86400,"")</f>
        <v>111.39800000000001</v>
      </c>
      <c r="V2" s="265">
        <f>_xlfn.IFERROR((($E2*86400)-U2),"")</f>
        <v>1.4469999999999743</v>
      </c>
      <c r="W2" s="171">
        <f aca="true" t="shared" si="3" ref="W2:W20">IF(V2&lt;=0,10,IF(V2&lt;1,5,IF(V2&lt;2,0,IF(V2&lt;3,-5,-10))))</f>
        <v>0</v>
      </c>
      <c r="X2" s="432">
        <f aca="true" t="shared" si="4" ref="X2:X21">_xlfn.IFERROR(VLOOKUP(D2,Class2018,4,0),"n/a")</f>
        <v>5</v>
      </c>
      <c r="Y2" s="217">
        <f aca="true" t="shared" si="5" ref="Y2:Y21">_xlfn.IFERROR(VLOOKUP(D2,Class2018,3,0),"n/a")</f>
        <v>9</v>
      </c>
      <c r="Z2" s="217">
        <f>IF($Y2="n/a","",_xlfn.IFERROR(COUNTIF($Y$2:$Y2,"="&amp;Y2),""))</f>
        <v>1</v>
      </c>
      <c r="AA2" s="217">
        <f>COUNTIF($X1:X$2,"&lt;"&amp;X2)</f>
        <v>0</v>
      </c>
      <c r="AB2" s="247">
        <f aca="true" t="shared" si="6" ref="AB2:AB21">IF($Y2="n/a",0,_xlfn.IFERROR(VLOOKUP(Z2+AA2,Points2018,2,0),15))</f>
        <v>100</v>
      </c>
      <c r="AC2" s="211">
        <f aca="true" t="shared" si="7" ref="AC2:AC21">(S2+T2+W2)</f>
        <v>100</v>
      </c>
      <c r="AE2" s="251" t="s">
        <v>3</v>
      </c>
      <c r="AF2" s="298" t="s">
        <v>76</v>
      </c>
      <c r="AG2" s="315">
        <v>0.001427349537037037</v>
      </c>
    </row>
    <row r="3" spans="1:33" ht="12.75">
      <c r="A3" s="347">
        <v>76</v>
      </c>
      <c r="B3" s="1" t="s">
        <v>110</v>
      </c>
      <c r="C3" s="1" t="str">
        <f aca="true" t="shared" si="8" ref="C3:C21">LOWER(B3)</f>
        <v>ralph thompson</v>
      </c>
      <c r="D3" s="8" t="s">
        <v>26</v>
      </c>
      <c r="E3" s="11" t="s">
        <v>120</v>
      </c>
      <c r="F3" s="1"/>
      <c r="G3" s="1" t="s">
        <v>69</v>
      </c>
      <c r="H3" s="248">
        <f t="shared" si="0"/>
      </c>
      <c r="I3" s="248">
        <f t="shared" si="0"/>
      </c>
      <c r="J3" s="248">
        <f t="shared" si="0"/>
      </c>
      <c r="K3" s="248">
        <f t="shared" si="0"/>
      </c>
      <c r="L3" s="248">
        <f t="shared" si="0"/>
      </c>
      <c r="M3" s="248">
        <f t="shared" si="0"/>
      </c>
      <c r="N3" s="248">
        <f t="shared" si="0"/>
      </c>
      <c r="O3" s="248">
        <f t="shared" si="0"/>
      </c>
      <c r="P3" s="248">
        <f t="shared" si="0"/>
      </c>
      <c r="Q3" s="248">
        <f t="shared" si="0"/>
      </c>
      <c r="R3" s="269">
        <f t="shared" si="0"/>
      </c>
      <c r="S3" s="103">
        <f t="shared" si="1"/>
        <v>0</v>
      </c>
      <c r="T3" s="195">
        <f t="shared" si="2"/>
        <v>0</v>
      </c>
      <c r="U3" s="155">
        <f>_xlfn.IFERROR(VLOOKUP(D3,BenchmarksRd1,3,0)*86400,"")</f>
      </c>
      <c r="V3" s="209">
        <f>_xlfn.IFERROR((($E3*86400)-U3),"")</f>
      </c>
      <c r="W3" s="104"/>
      <c r="X3" s="433" t="str">
        <f t="shared" si="4"/>
        <v>n/a</v>
      </c>
      <c r="Y3" s="196" t="str">
        <f t="shared" si="5"/>
        <v>n/a</v>
      </c>
      <c r="Z3" s="196">
        <f>IF($Y3="n/a","",_xlfn.IFERROR(COUNTIF($Y$2:$Y3,"="&amp;Y3),""))</f>
      </c>
      <c r="AA3" s="196">
        <f>COUNTIF($X$2:X2,"&lt;"&amp;X3)</f>
        <v>0</v>
      </c>
      <c r="AB3" s="206">
        <f t="shared" si="6"/>
        <v>0</v>
      </c>
      <c r="AC3" s="212">
        <f t="shared" si="7"/>
        <v>0</v>
      </c>
      <c r="AE3" s="252" t="s">
        <v>5</v>
      </c>
      <c r="AF3" s="299" t="s">
        <v>77</v>
      </c>
      <c r="AG3" s="428" t="s">
        <v>161</v>
      </c>
    </row>
    <row r="4" spans="1:33" ht="12.75">
      <c r="A4" s="112">
        <v>124</v>
      </c>
      <c r="B4" s="65" t="s">
        <v>83</v>
      </c>
      <c r="C4" s="65" t="str">
        <f t="shared" si="8"/>
        <v>ray monik</v>
      </c>
      <c r="D4" s="69" t="s">
        <v>13</v>
      </c>
      <c r="E4" s="318" t="s">
        <v>121</v>
      </c>
      <c r="F4" s="65"/>
      <c r="G4" s="65" t="s">
        <v>69</v>
      </c>
      <c r="H4" s="71">
        <f t="shared" si="0"/>
      </c>
      <c r="I4" s="71">
        <f t="shared" si="0"/>
        <v>100</v>
      </c>
      <c r="J4" s="71">
        <f t="shared" si="0"/>
      </c>
      <c r="K4" s="71">
        <f t="shared" si="0"/>
      </c>
      <c r="L4" s="71">
        <f t="shared" si="0"/>
      </c>
      <c r="M4" s="71">
        <f t="shared" si="0"/>
      </c>
      <c r="N4" s="71">
        <f t="shared" si="0"/>
      </c>
      <c r="O4" s="71">
        <f t="shared" si="0"/>
      </c>
      <c r="P4" s="71">
        <f t="shared" si="0"/>
      </c>
      <c r="Q4" s="71">
        <f t="shared" si="0"/>
      </c>
      <c r="R4" s="267">
        <f t="shared" si="0"/>
      </c>
      <c r="S4" s="103">
        <f t="shared" si="1"/>
        <v>100</v>
      </c>
      <c r="T4" s="112">
        <f>AB4-S4</f>
        <v>-25</v>
      </c>
      <c r="U4" s="262">
        <f>_xlfn.IFERROR(VLOOKUP(D4,BenchmarksRd1,3,0)*86400,"")</f>
        <v>109.967</v>
      </c>
      <c r="V4" s="207">
        <f>_xlfn.IFERROR((($E4*86400)-U4),"")</f>
        <v>4.992999999999995</v>
      </c>
      <c r="W4" s="113">
        <f t="shared" si="3"/>
        <v>-10</v>
      </c>
      <c r="X4" s="433">
        <f t="shared" si="4"/>
        <v>6</v>
      </c>
      <c r="Y4" s="196">
        <f t="shared" si="5"/>
        <v>10</v>
      </c>
      <c r="Z4" s="196">
        <f>IF($Y4="n/a","",_xlfn.IFERROR(COUNTIF($Y$2:$Y4,"="&amp;Y4),""))</f>
        <v>1</v>
      </c>
      <c r="AA4" s="196">
        <f>COUNTIF($X$2:X3,"&lt;"&amp;X4)</f>
        <v>1</v>
      </c>
      <c r="AB4" s="206">
        <f t="shared" si="6"/>
        <v>75</v>
      </c>
      <c r="AC4" s="212">
        <f>(S4+T4+W4)</f>
        <v>65</v>
      </c>
      <c r="AE4" s="253" t="s">
        <v>4</v>
      </c>
      <c r="AF4" s="306" t="s">
        <v>72</v>
      </c>
      <c r="AG4" s="300">
        <v>0.0013765625000000002</v>
      </c>
    </row>
    <row r="5" spans="1:33" ht="12.75">
      <c r="A5" s="112">
        <v>555</v>
      </c>
      <c r="B5" s="65" t="s">
        <v>73</v>
      </c>
      <c r="C5" s="1" t="str">
        <f t="shared" si="8"/>
        <v>tim meaden</v>
      </c>
      <c r="D5" s="8" t="s">
        <v>13</v>
      </c>
      <c r="E5" s="318" t="s">
        <v>122</v>
      </c>
      <c r="F5" s="65"/>
      <c r="G5" s="65" t="s">
        <v>117</v>
      </c>
      <c r="H5" s="71">
        <f t="shared" si="0"/>
      </c>
      <c r="I5" s="71">
        <f t="shared" si="0"/>
        <v>75</v>
      </c>
      <c r="J5" s="71">
        <f t="shared" si="0"/>
      </c>
      <c r="K5" s="71">
        <f t="shared" si="0"/>
      </c>
      <c r="L5" s="71">
        <f t="shared" si="0"/>
      </c>
      <c r="M5" s="71">
        <f t="shared" si="0"/>
      </c>
      <c r="N5" s="71">
        <f t="shared" si="0"/>
      </c>
      <c r="O5" s="71">
        <f t="shared" si="0"/>
      </c>
      <c r="P5" s="71">
        <f t="shared" si="0"/>
      </c>
      <c r="Q5" s="71">
        <f t="shared" si="0"/>
      </c>
      <c r="R5" s="267">
        <f t="shared" si="0"/>
      </c>
      <c r="S5" s="103">
        <f t="shared" si="1"/>
        <v>75</v>
      </c>
      <c r="T5" s="112">
        <f t="shared" si="2"/>
        <v>-15</v>
      </c>
      <c r="U5" s="262">
        <f>_xlfn.IFERROR(VLOOKUP(D5,BenchmarksRd1,3,0)*86400,"")</f>
        <v>109.967</v>
      </c>
      <c r="V5" s="207">
        <f aca="true" t="shared" si="9" ref="V5:V21">_xlfn.IFERROR((($E5*86400)-U5),"")</f>
        <v>8.90300000000002</v>
      </c>
      <c r="W5" s="113">
        <f t="shared" si="3"/>
        <v>-10</v>
      </c>
      <c r="X5" s="433">
        <f t="shared" si="4"/>
        <v>6</v>
      </c>
      <c r="Y5" s="196">
        <f t="shared" si="5"/>
        <v>10</v>
      </c>
      <c r="Z5" s="196">
        <f>IF($Y5="n/a","",_xlfn.IFERROR(COUNTIF($Y$2:$Y5,"="&amp;Y5),""))</f>
        <v>2</v>
      </c>
      <c r="AA5" s="196">
        <f>COUNTIF($X$2:X4,"&lt;"&amp;X5)</f>
        <v>1</v>
      </c>
      <c r="AB5" s="206">
        <f t="shared" si="6"/>
        <v>60</v>
      </c>
      <c r="AC5" s="212">
        <f t="shared" si="7"/>
        <v>50</v>
      </c>
      <c r="AE5" s="254" t="s">
        <v>50</v>
      </c>
      <c r="AF5" s="307" t="s">
        <v>74</v>
      </c>
      <c r="AG5" s="301">
        <v>0.0013754282407407406</v>
      </c>
    </row>
    <row r="6" spans="1:33" ht="12.75">
      <c r="A6" s="157">
        <v>13</v>
      </c>
      <c r="B6" s="49" t="s">
        <v>123</v>
      </c>
      <c r="C6" s="1" t="str">
        <f t="shared" si="8"/>
        <v>john vaughan</v>
      </c>
      <c r="D6" s="8" t="s">
        <v>14</v>
      </c>
      <c r="E6" s="319" t="s">
        <v>124</v>
      </c>
      <c r="F6" s="49"/>
      <c r="G6" s="49" t="s">
        <v>86</v>
      </c>
      <c r="H6" s="294">
        <f t="shared" si="0"/>
        <v>100</v>
      </c>
      <c r="I6" s="294">
        <f t="shared" si="0"/>
      </c>
      <c r="J6" s="294">
        <f t="shared" si="0"/>
      </c>
      <c r="K6" s="294">
        <f t="shared" si="0"/>
      </c>
      <c r="L6" s="294">
        <f t="shared" si="0"/>
      </c>
      <c r="M6" s="294">
        <f t="shared" si="0"/>
      </c>
      <c r="N6" s="294">
        <f t="shared" si="0"/>
      </c>
      <c r="O6" s="294">
        <f t="shared" si="0"/>
      </c>
      <c r="P6" s="294">
        <f t="shared" si="0"/>
      </c>
      <c r="Q6" s="294">
        <f t="shared" si="0"/>
      </c>
      <c r="R6" s="295">
        <f t="shared" si="0"/>
      </c>
      <c r="S6" s="103">
        <f t="shared" si="1"/>
        <v>100</v>
      </c>
      <c r="T6" s="157">
        <f t="shared" si="2"/>
        <v>-55</v>
      </c>
      <c r="U6" s="296">
        <f>_xlfn.IFERROR(VLOOKUP(D6,BenchmarksRd1,3,0)*86400,"")</f>
        <v>103.873</v>
      </c>
      <c r="V6" s="297">
        <f t="shared" si="9"/>
        <v>15.216999999999999</v>
      </c>
      <c r="W6" s="158">
        <f t="shared" si="3"/>
        <v>-10</v>
      </c>
      <c r="X6" s="433">
        <f t="shared" si="4"/>
        <v>7</v>
      </c>
      <c r="Y6" s="196">
        <f t="shared" si="5"/>
        <v>11</v>
      </c>
      <c r="Z6" s="196">
        <f>IF($Y6="n/a","",_xlfn.IFERROR(COUNTIF($Y$2:$Y6,"="&amp;Y6),""))</f>
        <v>1</v>
      </c>
      <c r="AA6" s="196">
        <f>COUNTIF($X$2:X5,"&lt;"&amp;X6)</f>
        <v>3</v>
      </c>
      <c r="AB6" s="206">
        <f t="shared" si="6"/>
        <v>45</v>
      </c>
      <c r="AC6" s="212">
        <f t="shared" si="7"/>
        <v>35</v>
      </c>
      <c r="AE6" s="255" t="s">
        <v>22</v>
      </c>
      <c r="AF6" s="308" t="s">
        <v>76</v>
      </c>
      <c r="AG6" s="302">
        <v>0.0014134722222222222</v>
      </c>
    </row>
    <row r="7" spans="1:33" ht="12.75">
      <c r="A7" s="276">
        <v>21</v>
      </c>
      <c r="B7" s="273" t="s">
        <v>88</v>
      </c>
      <c r="C7" s="1" t="str">
        <f t="shared" si="8"/>
        <v>gavin newman</v>
      </c>
      <c r="D7" s="8" t="s">
        <v>51</v>
      </c>
      <c r="E7" s="320" t="s">
        <v>125</v>
      </c>
      <c r="F7" s="273"/>
      <c r="G7" s="273" t="s">
        <v>67</v>
      </c>
      <c r="H7" s="274">
        <f t="shared" si="0"/>
      </c>
      <c r="I7" s="274">
        <f t="shared" si="0"/>
      </c>
      <c r="J7" s="274">
        <f t="shared" si="0"/>
      </c>
      <c r="K7" s="274">
        <f t="shared" si="0"/>
      </c>
      <c r="L7" s="274">
        <f t="shared" si="0"/>
        <v>100</v>
      </c>
      <c r="M7" s="274">
        <f t="shared" si="0"/>
      </c>
      <c r="N7" s="274">
        <f t="shared" si="0"/>
      </c>
      <c r="O7" s="274">
        <f t="shared" si="0"/>
      </c>
      <c r="P7" s="274">
        <f t="shared" si="0"/>
      </c>
      <c r="Q7" s="274">
        <f t="shared" si="0"/>
      </c>
      <c r="R7" s="275">
        <f t="shared" si="0"/>
      </c>
      <c r="S7" s="103">
        <f t="shared" si="1"/>
        <v>100</v>
      </c>
      <c r="T7" s="276">
        <f t="shared" si="2"/>
        <v>0</v>
      </c>
      <c r="U7" s="277">
        <f>_xlfn.IFERROR(VLOOKUP(D7,BenchmarksRd6,3,0)*86400,"")</f>
        <v>117.688</v>
      </c>
      <c r="V7" s="278">
        <f t="shared" si="9"/>
        <v>1.793999999999997</v>
      </c>
      <c r="W7" s="156">
        <f t="shared" si="3"/>
        <v>0</v>
      </c>
      <c r="X7" s="433">
        <f t="shared" si="4"/>
        <v>4</v>
      </c>
      <c r="Y7" s="196">
        <f t="shared" si="5"/>
        <v>7</v>
      </c>
      <c r="Z7" s="196">
        <f>IF($Y7="n/a","",_xlfn.IFERROR(COUNTIF($Y$2:$Y7,"="&amp;Y7),""))</f>
        <v>1</v>
      </c>
      <c r="AA7" s="196">
        <f>COUNTIF($X$2:X6,"&lt;"&amp;X7)</f>
        <v>0</v>
      </c>
      <c r="AB7" s="206">
        <f t="shared" si="6"/>
        <v>100</v>
      </c>
      <c r="AC7" s="212">
        <f t="shared" si="7"/>
        <v>100</v>
      </c>
      <c r="AE7" s="256" t="s">
        <v>21</v>
      </c>
      <c r="AF7" s="303" t="s">
        <v>111</v>
      </c>
      <c r="AG7" s="429" t="s">
        <v>160</v>
      </c>
    </row>
    <row r="8" spans="1:33" ht="12.75">
      <c r="A8" s="347">
        <v>255</v>
      </c>
      <c r="B8" s="1" t="s">
        <v>116</v>
      </c>
      <c r="C8" s="1" t="str">
        <f t="shared" si="8"/>
        <v>owen boak</v>
      </c>
      <c r="D8" s="8" t="s">
        <v>26</v>
      </c>
      <c r="E8" s="11" t="s">
        <v>126</v>
      </c>
      <c r="F8" s="1"/>
      <c r="G8" s="1" t="s">
        <v>56</v>
      </c>
      <c r="H8" s="248">
        <f t="shared" si="0"/>
      </c>
      <c r="I8" s="248">
        <f t="shared" si="0"/>
      </c>
      <c r="J8" s="248">
        <f t="shared" si="0"/>
      </c>
      <c r="K8" s="248">
        <f t="shared" si="0"/>
      </c>
      <c r="L8" s="248">
        <f t="shared" si="0"/>
      </c>
      <c r="M8" s="248">
        <f t="shared" si="0"/>
      </c>
      <c r="N8" s="248">
        <f t="shared" si="0"/>
      </c>
      <c r="O8" s="248">
        <f t="shared" si="0"/>
      </c>
      <c r="P8" s="248">
        <f t="shared" si="0"/>
      </c>
      <c r="Q8" s="248">
        <f t="shared" si="0"/>
      </c>
      <c r="R8" s="269">
        <f t="shared" si="0"/>
      </c>
      <c r="S8" s="103">
        <f t="shared" si="1"/>
        <v>0</v>
      </c>
      <c r="T8" s="195">
        <f t="shared" si="2"/>
        <v>0</v>
      </c>
      <c r="U8" s="155">
        <f aca="true" t="shared" si="10" ref="U8:U20">_xlfn.IFERROR(VLOOKUP(D8,BenchmarksRd1,3,0)*86400,"")</f>
      </c>
      <c r="V8" s="209">
        <f t="shared" si="9"/>
      </c>
      <c r="W8" s="104"/>
      <c r="X8" s="433" t="str">
        <f t="shared" si="4"/>
        <v>n/a</v>
      </c>
      <c r="Y8" s="196" t="str">
        <f t="shared" si="5"/>
        <v>n/a</v>
      </c>
      <c r="Z8" s="196">
        <f>IF($Y8="n/a","",_xlfn.IFERROR(COUNTIF($Y$2:$Y8,"="&amp;Y8),""))</f>
      </c>
      <c r="AA8" s="196">
        <f>COUNTIF($X$2:X7,"&lt;"&amp;X8)</f>
        <v>0</v>
      </c>
      <c r="AB8" s="206">
        <f t="shared" si="6"/>
        <v>0</v>
      </c>
      <c r="AC8" s="212">
        <f t="shared" si="7"/>
        <v>0</v>
      </c>
      <c r="AE8" s="257" t="s">
        <v>51</v>
      </c>
      <c r="AF8" s="309" t="s">
        <v>88</v>
      </c>
      <c r="AG8" s="430" t="s">
        <v>159</v>
      </c>
    </row>
    <row r="9" spans="1:33" ht="12.75">
      <c r="A9" s="347">
        <v>82</v>
      </c>
      <c r="B9" s="1" t="s">
        <v>115</v>
      </c>
      <c r="C9" s="1" t="str">
        <f t="shared" si="8"/>
        <v>travis mcinnes</v>
      </c>
      <c r="D9" s="8" t="s">
        <v>26</v>
      </c>
      <c r="E9" s="11" t="s">
        <v>127</v>
      </c>
      <c r="F9" s="1"/>
      <c r="G9" s="1" t="s">
        <v>85</v>
      </c>
      <c r="H9" s="248">
        <f t="shared" si="0"/>
      </c>
      <c r="I9" s="248">
        <f t="shared" si="0"/>
      </c>
      <c r="J9" s="248">
        <f t="shared" si="0"/>
      </c>
      <c r="K9" s="248">
        <f t="shared" si="0"/>
      </c>
      <c r="L9" s="248">
        <f t="shared" si="0"/>
      </c>
      <c r="M9" s="248">
        <f t="shared" si="0"/>
      </c>
      <c r="N9" s="248">
        <f t="shared" si="0"/>
      </c>
      <c r="O9" s="248">
        <f t="shared" si="0"/>
      </c>
      <c r="P9" s="248">
        <f t="shared" si="0"/>
      </c>
      <c r="Q9" s="248">
        <f t="shared" si="0"/>
      </c>
      <c r="R9" s="269">
        <f t="shared" si="0"/>
      </c>
      <c r="S9" s="103">
        <f t="shared" si="1"/>
        <v>0</v>
      </c>
      <c r="T9" s="195">
        <f t="shared" si="2"/>
        <v>0</v>
      </c>
      <c r="U9" s="155">
        <f t="shared" si="10"/>
      </c>
      <c r="V9" s="209">
        <f t="shared" si="9"/>
      </c>
      <c r="W9" s="104"/>
      <c r="X9" s="433" t="str">
        <f t="shared" si="4"/>
        <v>n/a</v>
      </c>
      <c r="Y9" s="196" t="str">
        <f t="shared" si="5"/>
        <v>n/a</v>
      </c>
      <c r="Z9" s="196">
        <f>IF($Y9="n/a","",_xlfn.IFERROR(COUNTIF($Y$2:$Y9,"="&amp;Y9),""))</f>
      </c>
      <c r="AA9" s="196">
        <f>COUNTIF($X$2:X8,"&lt;"&amp;X9)</f>
        <v>0</v>
      </c>
      <c r="AB9" s="206">
        <f t="shared" si="6"/>
        <v>0</v>
      </c>
      <c r="AC9" s="212">
        <f t="shared" si="7"/>
        <v>0</v>
      </c>
      <c r="AE9" s="258" t="s">
        <v>52</v>
      </c>
      <c r="AF9" s="310" t="s">
        <v>74</v>
      </c>
      <c r="AG9" s="431" t="s">
        <v>158</v>
      </c>
    </row>
    <row r="10" spans="1:33" ht="12.75">
      <c r="A10" s="105">
        <v>64</v>
      </c>
      <c r="B10" s="35" t="s">
        <v>75</v>
      </c>
      <c r="C10" s="1" t="str">
        <f t="shared" si="8"/>
        <v>noel heritage</v>
      </c>
      <c r="D10" s="8" t="s">
        <v>21</v>
      </c>
      <c r="E10" s="321" t="s">
        <v>128</v>
      </c>
      <c r="F10" s="35"/>
      <c r="G10" s="35" t="s">
        <v>68</v>
      </c>
      <c r="H10" s="249">
        <f t="shared" si="0"/>
      </c>
      <c r="I10" s="249">
        <f t="shared" si="0"/>
      </c>
      <c r="J10" s="249">
        <f t="shared" si="0"/>
      </c>
      <c r="K10" s="249">
        <f t="shared" si="0"/>
      </c>
      <c r="L10" s="249">
        <f t="shared" si="0"/>
      </c>
      <c r="M10" s="249">
        <f t="shared" si="0"/>
        <v>100</v>
      </c>
      <c r="N10" s="249">
        <f t="shared" si="0"/>
      </c>
      <c r="O10" s="249">
        <f t="shared" si="0"/>
      </c>
      <c r="P10" s="249">
        <f t="shared" si="0"/>
      </c>
      <c r="Q10" s="249">
        <f t="shared" si="0"/>
      </c>
      <c r="R10" s="268">
        <f t="shared" si="0"/>
      </c>
      <c r="S10" s="103">
        <f t="shared" si="1"/>
        <v>100</v>
      </c>
      <c r="T10" s="105">
        <f t="shared" si="2"/>
        <v>0</v>
      </c>
      <c r="U10" s="214">
        <f t="shared" si="10"/>
        <v>120.58200000000001</v>
      </c>
      <c r="V10" s="208">
        <f t="shared" si="9"/>
        <v>1.1859999999999786</v>
      </c>
      <c r="W10" s="106">
        <f t="shared" si="3"/>
        <v>0</v>
      </c>
      <c r="X10" s="433">
        <f t="shared" si="4"/>
        <v>2</v>
      </c>
      <c r="Y10" s="196">
        <f t="shared" si="5"/>
        <v>4</v>
      </c>
      <c r="Z10" s="196">
        <f>IF($Y10="n/a","",_xlfn.IFERROR(COUNTIF($Y$2:$Y10,"="&amp;Y10),""))</f>
        <v>1</v>
      </c>
      <c r="AA10" s="196">
        <f>COUNTIF($X$2:X9,"&lt;"&amp;X10)</f>
        <v>0</v>
      </c>
      <c r="AB10" s="206">
        <f t="shared" si="6"/>
        <v>100</v>
      </c>
      <c r="AC10" s="212">
        <f t="shared" si="7"/>
        <v>100</v>
      </c>
      <c r="AE10" s="259" t="s">
        <v>16</v>
      </c>
      <c r="AF10" s="311" t="s">
        <v>106</v>
      </c>
      <c r="AG10" s="304">
        <v>0.0012893287037037038</v>
      </c>
    </row>
    <row r="11" spans="1:33" ht="12.75">
      <c r="A11" s="105">
        <v>142</v>
      </c>
      <c r="B11" s="35" t="s">
        <v>111</v>
      </c>
      <c r="C11" s="1" t="str">
        <f t="shared" si="8"/>
        <v>max lloyd</v>
      </c>
      <c r="D11" s="8" t="s">
        <v>21</v>
      </c>
      <c r="E11" s="321" t="s">
        <v>129</v>
      </c>
      <c r="F11" s="35"/>
      <c r="G11" s="35" t="s">
        <v>68</v>
      </c>
      <c r="H11" s="249">
        <f t="shared" si="0"/>
      </c>
      <c r="I11" s="249">
        <f t="shared" si="0"/>
      </c>
      <c r="J11" s="249">
        <f t="shared" si="0"/>
      </c>
      <c r="K11" s="249">
        <f t="shared" si="0"/>
      </c>
      <c r="L11" s="249">
        <f t="shared" si="0"/>
      </c>
      <c r="M11" s="249">
        <f t="shared" si="0"/>
        <v>75</v>
      </c>
      <c r="N11" s="249">
        <f t="shared" si="0"/>
      </c>
      <c r="O11" s="249">
        <f t="shared" si="0"/>
      </c>
      <c r="P11" s="249">
        <f t="shared" si="0"/>
      </c>
      <c r="Q11" s="249">
        <f t="shared" si="0"/>
      </c>
      <c r="R11" s="268">
        <f t="shared" si="0"/>
      </c>
      <c r="S11" s="103">
        <f t="shared" si="1"/>
        <v>75</v>
      </c>
      <c r="T11" s="105">
        <f>AB11-S11</f>
        <v>0</v>
      </c>
      <c r="U11" s="214">
        <f t="shared" si="10"/>
        <v>120.58200000000001</v>
      </c>
      <c r="V11" s="208">
        <f t="shared" si="9"/>
        <v>1.453000000000003</v>
      </c>
      <c r="W11" s="106">
        <f t="shared" si="3"/>
        <v>0</v>
      </c>
      <c r="X11" s="433">
        <f t="shared" si="4"/>
        <v>2</v>
      </c>
      <c r="Y11" s="196">
        <f t="shared" si="5"/>
        <v>4</v>
      </c>
      <c r="Z11" s="196">
        <f>IF($Y11="n/a","",_xlfn.IFERROR(COUNTIF($Y$2:$Y11,"="&amp;Y11),""))</f>
        <v>2</v>
      </c>
      <c r="AA11" s="196">
        <f>COUNTIF($X$2:X10,"&lt;"&amp;X11)</f>
        <v>0</v>
      </c>
      <c r="AB11" s="206">
        <f t="shared" si="6"/>
        <v>75</v>
      </c>
      <c r="AC11" s="212">
        <f t="shared" si="7"/>
        <v>75</v>
      </c>
      <c r="AE11" s="260" t="s">
        <v>13</v>
      </c>
      <c r="AF11" s="312" t="s">
        <v>82</v>
      </c>
      <c r="AG11" s="305">
        <v>0.0012727662037037037</v>
      </c>
    </row>
    <row r="12" spans="1:33" ht="13.5" thickBot="1">
      <c r="A12" s="281">
        <v>26</v>
      </c>
      <c r="B12" s="142" t="s">
        <v>76</v>
      </c>
      <c r="C12" s="1" t="str">
        <f t="shared" si="8"/>
        <v>robert downes</v>
      </c>
      <c r="D12" s="8" t="s">
        <v>4</v>
      </c>
      <c r="E12" s="322" t="s">
        <v>130</v>
      </c>
      <c r="F12" s="142"/>
      <c r="G12" s="142" t="s">
        <v>67</v>
      </c>
      <c r="H12" s="279">
        <f t="shared" si="0"/>
      </c>
      <c r="I12" s="279">
        <f t="shared" si="0"/>
      </c>
      <c r="J12" s="279">
        <f t="shared" si="0"/>
      </c>
      <c r="K12" s="279">
        <f t="shared" si="0"/>
      </c>
      <c r="L12" s="279">
        <f t="shared" si="0"/>
      </c>
      <c r="M12" s="279">
        <f t="shared" si="0"/>
      </c>
      <c r="N12" s="279">
        <f t="shared" si="0"/>
      </c>
      <c r="O12" s="279">
        <f t="shared" si="0"/>
      </c>
      <c r="P12" s="279">
        <f t="shared" si="0"/>
        <v>100</v>
      </c>
      <c r="Q12" s="279">
        <f t="shared" si="0"/>
      </c>
      <c r="R12" s="280">
        <f t="shared" si="0"/>
      </c>
      <c r="S12" s="103">
        <f t="shared" si="1"/>
        <v>100</v>
      </c>
      <c r="T12" s="281">
        <f aca="true" t="shared" si="11" ref="T12:T21">AB12-S12</f>
        <v>-40</v>
      </c>
      <c r="U12" s="282">
        <f t="shared" si="10"/>
        <v>118.93500000000002</v>
      </c>
      <c r="V12" s="283">
        <f t="shared" si="9"/>
        <v>4.921999999999997</v>
      </c>
      <c r="W12" s="284">
        <f t="shared" si="3"/>
        <v>-10</v>
      </c>
      <c r="X12" s="433">
        <f t="shared" si="4"/>
        <v>3</v>
      </c>
      <c r="Y12" s="196">
        <f t="shared" si="5"/>
        <v>5</v>
      </c>
      <c r="Z12" s="196">
        <f>IF($Y12="n/a","",_xlfn.IFERROR(COUNTIF($Y$2:$Y12,"="&amp;Y12),""))</f>
        <v>1</v>
      </c>
      <c r="AA12" s="196">
        <f>COUNTIF($X$2:X11,"&lt;"&amp;X12)</f>
        <v>2</v>
      </c>
      <c r="AB12" s="206">
        <f t="shared" si="6"/>
        <v>60</v>
      </c>
      <c r="AC12" s="212">
        <f t="shared" si="7"/>
        <v>50</v>
      </c>
      <c r="AE12" s="261" t="s">
        <v>14</v>
      </c>
      <c r="AF12" s="313" t="s">
        <v>107</v>
      </c>
      <c r="AG12" s="314">
        <v>0.0012022337962962963</v>
      </c>
    </row>
    <row r="13" spans="1:29" ht="12.75">
      <c r="A13" s="105">
        <v>612</v>
      </c>
      <c r="B13" s="35" t="s">
        <v>77</v>
      </c>
      <c r="C13" s="1" t="str">
        <f t="shared" si="8"/>
        <v>gareth pedley</v>
      </c>
      <c r="D13" s="8" t="s">
        <v>21</v>
      </c>
      <c r="E13" s="321" t="s">
        <v>131</v>
      </c>
      <c r="F13" s="35"/>
      <c r="G13" s="35" t="s">
        <v>85</v>
      </c>
      <c r="H13" s="249">
        <f t="shared" si="0"/>
      </c>
      <c r="I13" s="249">
        <f t="shared" si="0"/>
      </c>
      <c r="J13" s="249">
        <f t="shared" si="0"/>
      </c>
      <c r="K13" s="249">
        <f t="shared" si="0"/>
      </c>
      <c r="L13" s="249">
        <f t="shared" si="0"/>
      </c>
      <c r="M13" s="249">
        <f t="shared" si="0"/>
        <v>60</v>
      </c>
      <c r="N13" s="249">
        <f t="shared" si="0"/>
      </c>
      <c r="O13" s="249">
        <f t="shared" si="0"/>
      </c>
      <c r="P13" s="249">
        <f t="shared" si="0"/>
      </c>
      <c r="Q13" s="249">
        <f t="shared" si="0"/>
      </c>
      <c r="R13" s="268">
        <f t="shared" si="0"/>
      </c>
      <c r="S13" s="103">
        <f t="shared" si="1"/>
        <v>60</v>
      </c>
      <c r="T13" s="105">
        <f t="shared" si="11"/>
        <v>0</v>
      </c>
      <c r="U13" s="214">
        <f t="shared" si="10"/>
        <v>120.58200000000001</v>
      </c>
      <c r="V13" s="208">
        <f t="shared" si="9"/>
        <v>4.188000000000002</v>
      </c>
      <c r="W13" s="106">
        <f t="shared" si="3"/>
        <v>-10</v>
      </c>
      <c r="X13" s="433">
        <f t="shared" si="4"/>
        <v>2</v>
      </c>
      <c r="Y13" s="196">
        <f t="shared" si="5"/>
        <v>4</v>
      </c>
      <c r="Z13" s="196">
        <f>IF($Y13="n/a","",_xlfn.IFERROR(COUNTIF($Y$2:$Y13,"="&amp;Y13),""))</f>
        <v>3</v>
      </c>
      <c r="AA13" s="196">
        <f>COUNTIF($X$2:X12,"&lt;"&amp;X13)</f>
        <v>0</v>
      </c>
      <c r="AB13" s="206">
        <f t="shared" si="6"/>
        <v>60</v>
      </c>
      <c r="AC13" s="212">
        <f t="shared" si="7"/>
        <v>50</v>
      </c>
    </row>
    <row r="14" spans="1:29" ht="12.75">
      <c r="A14" s="107">
        <v>87</v>
      </c>
      <c r="B14" s="47" t="s">
        <v>80</v>
      </c>
      <c r="C14" s="1" t="str">
        <f t="shared" si="8"/>
        <v>steve williamsz</v>
      </c>
      <c r="D14" s="8" t="s">
        <v>5</v>
      </c>
      <c r="E14" s="54" t="s">
        <v>132</v>
      </c>
      <c r="F14" s="47"/>
      <c r="G14" s="47" t="s">
        <v>84</v>
      </c>
      <c r="H14" s="250">
        <f t="shared" si="0"/>
      </c>
      <c r="I14" s="250">
        <f t="shared" si="0"/>
      </c>
      <c r="J14" s="250">
        <f t="shared" si="0"/>
      </c>
      <c r="K14" s="250">
        <f t="shared" si="0"/>
      </c>
      <c r="L14" s="250">
        <f t="shared" si="0"/>
      </c>
      <c r="M14" s="250">
        <f t="shared" si="0"/>
      </c>
      <c r="N14" s="250">
        <f t="shared" si="0"/>
      </c>
      <c r="O14" s="250">
        <f t="shared" si="0"/>
      </c>
      <c r="P14" s="250">
        <f t="shared" si="0"/>
      </c>
      <c r="Q14" s="250">
        <f t="shared" si="0"/>
        <v>100</v>
      </c>
      <c r="R14" s="270">
        <f t="shared" si="0"/>
      </c>
      <c r="S14" s="103">
        <f t="shared" si="1"/>
        <v>100</v>
      </c>
      <c r="T14" s="107">
        <f t="shared" si="11"/>
        <v>0</v>
      </c>
      <c r="U14" s="215">
        <f t="shared" si="10"/>
        <v>122.89</v>
      </c>
      <c r="V14" s="210">
        <f t="shared" si="9"/>
        <v>2.2419999999999902</v>
      </c>
      <c r="W14" s="108">
        <f t="shared" si="3"/>
        <v>-5</v>
      </c>
      <c r="X14" s="433">
        <f t="shared" si="4"/>
        <v>1</v>
      </c>
      <c r="Y14" s="196">
        <f t="shared" si="5"/>
        <v>2</v>
      </c>
      <c r="Z14" s="196">
        <f>IF($Y14="n/a","",_xlfn.IFERROR(COUNTIF($Y$2:$Y14,"="&amp;Y14),""))</f>
        <v>1</v>
      </c>
      <c r="AA14" s="196">
        <f>COUNTIF($X$2:X13,"&lt;"&amp;X14)</f>
        <v>0</v>
      </c>
      <c r="AB14" s="206">
        <f t="shared" si="6"/>
        <v>100</v>
      </c>
      <c r="AC14" s="212">
        <f t="shared" si="7"/>
        <v>95</v>
      </c>
    </row>
    <row r="15" spans="1:29" ht="12.75">
      <c r="A15" s="347">
        <v>96</v>
      </c>
      <c r="B15" s="1" t="s">
        <v>133</v>
      </c>
      <c r="C15" s="1" t="str">
        <f t="shared" si="8"/>
        <v>david adam</v>
      </c>
      <c r="D15" s="8" t="s">
        <v>26</v>
      </c>
      <c r="E15" s="11" t="s">
        <v>134</v>
      </c>
      <c r="F15" s="1"/>
      <c r="G15" s="1" t="s">
        <v>135</v>
      </c>
      <c r="H15" s="248">
        <f t="shared" si="0"/>
      </c>
      <c r="I15" s="248">
        <f t="shared" si="0"/>
      </c>
      <c r="J15" s="248">
        <f t="shared" si="0"/>
      </c>
      <c r="K15" s="248">
        <f t="shared" si="0"/>
      </c>
      <c r="L15" s="248">
        <f t="shared" si="0"/>
      </c>
      <c r="M15" s="248">
        <f t="shared" si="0"/>
      </c>
      <c r="N15" s="248">
        <f t="shared" si="0"/>
      </c>
      <c r="O15" s="248">
        <f t="shared" si="0"/>
      </c>
      <c r="P15" s="248">
        <f t="shared" si="0"/>
      </c>
      <c r="Q15" s="248">
        <f t="shared" si="0"/>
      </c>
      <c r="R15" s="269">
        <f t="shared" si="0"/>
      </c>
      <c r="S15" s="103">
        <f t="shared" si="1"/>
        <v>0</v>
      </c>
      <c r="T15" s="195">
        <f t="shared" si="11"/>
        <v>0</v>
      </c>
      <c r="U15" s="155">
        <f t="shared" si="10"/>
      </c>
      <c r="V15" s="209">
        <f t="shared" si="9"/>
      </c>
      <c r="W15" s="104"/>
      <c r="X15" s="433" t="str">
        <f t="shared" si="4"/>
        <v>n/a</v>
      </c>
      <c r="Y15" s="196" t="str">
        <f t="shared" si="5"/>
        <v>n/a</v>
      </c>
      <c r="Z15" s="196">
        <f>IF($Y15="n/a","",_xlfn.IFERROR(COUNTIF($Y$2:$Y15,"="&amp;Y15),""))</f>
      </c>
      <c r="AA15" s="196">
        <f>COUNTIF($X$2:X14,"&lt;"&amp;X15)</f>
        <v>0</v>
      </c>
      <c r="AB15" s="206">
        <f t="shared" si="6"/>
        <v>0</v>
      </c>
      <c r="AC15" s="212">
        <f t="shared" si="7"/>
        <v>0</v>
      </c>
    </row>
    <row r="16" spans="1:29" ht="12.75">
      <c r="A16" s="347">
        <v>242</v>
      </c>
      <c r="B16" s="1" t="s">
        <v>105</v>
      </c>
      <c r="C16" s="1" t="str">
        <f t="shared" si="8"/>
        <v>leon bogers</v>
      </c>
      <c r="D16" s="8" t="s">
        <v>26</v>
      </c>
      <c r="E16" s="11" t="s">
        <v>136</v>
      </c>
      <c r="F16" s="1"/>
      <c r="G16" s="1" t="s">
        <v>86</v>
      </c>
      <c r="H16" s="248">
        <f t="shared" si="0"/>
      </c>
      <c r="I16" s="248">
        <f t="shared" si="0"/>
      </c>
      <c r="J16" s="248">
        <f t="shared" si="0"/>
      </c>
      <c r="K16" s="248">
        <f t="shared" si="0"/>
      </c>
      <c r="L16" s="248">
        <f t="shared" si="0"/>
      </c>
      <c r="M16" s="248">
        <f t="shared" si="0"/>
      </c>
      <c r="N16" s="248">
        <f t="shared" si="0"/>
      </c>
      <c r="O16" s="248">
        <f t="shared" si="0"/>
      </c>
      <c r="P16" s="248">
        <f t="shared" si="0"/>
      </c>
      <c r="Q16" s="248">
        <f t="shared" si="0"/>
      </c>
      <c r="R16" s="269">
        <f t="shared" si="0"/>
      </c>
      <c r="S16" s="103">
        <f t="shared" si="1"/>
        <v>0</v>
      </c>
      <c r="T16" s="195">
        <f t="shared" si="11"/>
        <v>0</v>
      </c>
      <c r="U16" s="155">
        <f t="shared" si="10"/>
      </c>
      <c r="V16" s="209">
        <f t="shared" si="9"/>
      </c>
      <c r="W16" s="104"/>
      <c r="X16" s="433" t="str">
        <f t="shared" si="4"/>
        <v>n/a</v>
      </c>
      <c r="Y16" s="196" t="str">
        <f t="shared" si="5"/>
        <v>n/a</v>
      </c>
      <c r="Z16" s="196">
        <f>IF($Y16="n/a","",_xlfn.IFERROR(COUNTIF($Y$2:$Y16,"="&amp;Y16),""))</f>
      </c>
      <c r="AA16" s="196">
        <f>COUNTIF($X$2:X15,"&lt;"&amp;X16)</f>
        <v>0</v>
      </c>
      <c r="AB16" s="206">
        <f t="shared" si="6"/>
        <v>0</v>
      </c>
      <c r="AC16" s="212">
        <f t="shared" si="7"/>
        <v>0</v>
      </c>
    </row>
    <row r="17" spans="1:29" ht="12">
      <c r="A17" s="107">
        <v>22</v>
      </c>
      <c r="B17" s="47" t="s">
        <v>79</v>
      </c>
      <c r="C17" s="1" t="str">
        <f t="shared" si="8"/>
        <v>john downes</v>
      </c>
      <c r="D17" s="8" t="s">
        <v>5</v>
      </c>
      <c r="E17" s="54" t="s">
        <v>137</v>
      </c>
      <c r="F17" s="47"/>
      <c r="G17" s="47" t="s">
        <v>55</v>
      </c>
      <c r="H17" s="250">
        <f t="shared" si="0"/>
      </c>
      <c r="I17" s="250">
        <f t="shared" si="0"/>
      </c>
      <c r="J17" s="250">
        <f t="shared" si="0"/>
      </c>
      <c r="K17" s="250">
        <f t="shared" si="0"/>
      </c>
      <c r="L17" s="250">
        <f t="shared" si="0"/>
      </c>
      <c r="M17" s="250">
        <f t="shared" si="0"/>
      </c>
      <c r="N17" s="250">
        <f t="shared" si="0"/>
      </c>
      <c r="O17" s="250">
        <f t="shared" si="0"/>
      </c>
      <c r="P17" s="250">
        <f t="shared" si="0"/>
      </c>
      <c r="Q17" s="250">
        <f t="shared" si="0"/>
        <v>75</v>
      </c>
      <c r="R17" s="270">
        <f t="shared" si="0"/>
      </c>
      <c r="S17" s="103">
        <f t="shared" si="1"/>
        <v>75</v>
      </c>
      <c r="T17" s="165">
        <f>AB17-S17</f>
        <v>0</v>
      </c>
      <c r="U17" s="215">
        <f t="shared" si="10"/>
        <v>122.89</v>
      </c>
      <c r="V17" s="332">
        <f t="shared" si="9"/>
        <v>5.521000000000001</v>
      </c>
      <c r="W17" s="108">
        <f t="shared" si="3"/>
        <v>-10</v>
      </c>
      <c r="X17" s="433">
        <f t="shared" si="4"/>
        <v>1</v>
      </c>
      <c r="Y17" s="196">
        <f t="shared" si="5"/>
        <v>2</v>
      </c>
      <c r="Z17" s="196">
        <f>IF($Y17="n/a","",_xlfn.IFERROR(COUNTIF($Y$2:$Y17,"="&amp;Y17),""))</f>
        <v>2</v>
      </c>
      <c r="AA17" s="196">
        <f>COUNTIF($X$2:X16,"&lt;"&amp;X17)</f>
        <v>0</v>
      </c>
      <c r="AB17" s="206">
        <f t="shared" si="6"/>
        <v>75</v>
      </c>
      <c r="AC17" s="212">
        <f t="shared" si="7"/>
        <v>65</v>
      </c>
    </row>
    <row r="18" spans="1:29" ht="12">
      <c r="A18" s="107">
        <v>77</v>
      </c>
      <c r="B18" s="47" t="s">
        <v>78</v>
      </c>
      <c r="C18" s="1" t="str">
        <f t="shared" si="8"/>
        <v>simeon ouzas</v>
      </c>
      <c r="D18" s="8" t="s">
        <v>5</v>
      </c>
      <c r="E18" s="54" t="s">
        <v>138</v>
      </c>
      <c r="F18" s="47"/>
      <c r="G18" s="47" t="s">
        <v>28</v>
      </c>
      <c r="H18" s="250">
        <f t="shared" si="0"/>
      </c>
      <c r="I18" s="250">
        <f t="shared" si="0"/>
      </c>
      <c r="J18" s="250">
        <f t="shared" si="0"/>
      </c>
      <c r="K18" s="250">
        <f t="shared" si="0"/>
      </c>
      <c r="L18" s="250">
        <f t="shared" si="0"/>
      </c>
      <c r="M18" s="250">
        <f t="shared" si="0"/>
      </c>
      <c r="N18" s="250">
        <f t="shared" si="0"/>
      </c>
      <c r="O18" s="250">
        <f t="shared" si="0"/>
      </c>
      <c r="P18" s="250">
        <f t="shared" si="0"/>
      </c>
      <c r="Q18" s="250">
        <f t="shared" si="0"/>
        <v>60</v>
      </c>
      <c r="R18" s="270">
        <f t="shared" si="0"/>
      </c>
      <c r="S18" s="103">
        <f t="shared" si="1"/>
        <v>60</v>
      </c>
      <c r="T18" s="107">
        <f t="shared" si="11"/>
        <v>0</v>
      </c>
      <c r="U18" s="215">
        <f t="shared" si="10"/>
        <v>122.89</v>
      </c>
      <c r="V18" s="210">
        <f t="shared" si="9"/>
        <v>9.197999999999993</v>
      </c>
      <c r="W18" s="108">
        <f t="shared" si="3"/>
        <v>-10</v>
      </c>
      <c r="X18" s="433">
        <f t="shared" si="4"/>
        <v>1</v>
      </c>
      <c r="Y18" s="196">
        <f t="shared" si="5"/>
        <v>2</v>
      </c>
      <c r="Z18" s="196">
        <f>IF($Y18="n/a","",_xlfn.IFERROR(COUNTIF($Y$2:$Y18,"="&amp;Y18),""))</f>
        <v>3</v>
      </c>
      <c r="AA18" s="196">
        <f>COUNTIF($X$2:X17,"&lt;"&amp;X18)</f>
        <v>0</v>
      </c>
      <c r="AB18" s="206">
        <f t="shared" si="6"/>
        <v>60</v>
      </c>
      <c r="AC18" s="212">
        <f t="shared" si="7"/>
        <v>50</v>
      </c>
    </row>
    <row r="19" spans="1:29" ht="12">
      <c r="A19" s="347">
        <v>550</v>
      </c>
      <c r="B19" s="1" t="s">
        <v>139</v>
      </c>
      <c r="C19" s="1" t="str">
        <f t="shared" si="8"/>
        <v>bartosz dajnowski</v>
      </c>
      <c r="D19" s="8" t="s">
        <v>26</v>
      </c>
      <c r="E19" s="11" t="s">
        <v>140</v>
      </c>
      <c r="F19" s="1"/>
      <c r="G19" s="1" t="s">
        <v>87</v>
      </c>
      <c r="H19" s="248">
        <f t="shared" si="0"/>
      </c>
      <c r="I19" s="248">
        <f t="shared" si="0"/>
      </c>
      <c r="J19" s="248">
        <f t="shared" si="0"/>
      </c>
      <c r="K19" s="248">
        <f t="shared" si="0"/>
      </c>
      <c r="L19" s="248">
        <f t="shared" si="0"/>
      </c>
      <c r="M19" s="248">
        <f t="shared" si="0"/>
      </c>
      <c r="N19" s="248">
        <f t="shared" si="0"/>
      </c>
      <c r="O19" s="248">
        <f t="shared" si="0"/>
      </c>
      <c r="P19" s="248">
        <f t="shared" si="0"/>
      </c>
      <c r="Q19" s="248">
        <f t="shared" si="0"/>
      </c>
      <c r="R19" s="269">
        <f t="shared" si="0"/>
      </c>
      <c r="S19" s="103">
        <f t="shared" si="1"/>
        <v>0</v>
      </c>
      <c r="T19" s="195">
        <f t="shared" si="11"/>
        <v>0</v>
      </c>
      <c r="U19" s="155">
        <f t="shared" si="10"/>
      </c>
      <c r="V19" s="209">
        <f t="shared" si="9"/>
      </c>
      <c r="W19" s="104"/>
      <c r="X19" s="433" t="str">
        <f t="shared" si="4"/>
        <v>n/a</v>
      </c>
      <c r="Y19" s="196" t="str">
        <f t="shared" si="5"/>
        <v>n/a</v>
      </c>
      <c r="Z19" s="196">
        <f>IF($Y19="n/a","",_xlfn.IFERROR(COUNTIF($Y$2:$Y19,"="&amp;Y19),""))</f>
      </c>
      <c r="AA19" s="196">
        <f>COUNTIF($X$2:X18,"&lt;"&amp;X19)</f>
        <v>0</v>
      </c>
      <c r="AB19" s="206">
        <f t="shared" si="6"/>
        <v>0</v>
      </c>
      <c r="AC19" s="212">
        <f t="shared" si="7"/>
        <v>0</v>
      </c>
    </row>
    <row r="20" spans="1:29" ht="12">
      <c r="A20" s="107">
        <v>89</v>
      </c>
      <c r="B20" s="47" t="s">
        <v>112</v>
      </c>
      <c r="C20" s="1" t="str">
        <f t="shared" si="8"/>
        <v>matthew cavell</v>
      </c>
      <c r="D20" s="8" t="s">
        <v>5</v>
      </c>
      <c r="E20" s="54" t="s">
        <v>141</v>
      </c>
      <c r="F20" s="47"/>
      <c r="G20" s="47" t="s">
        <v>28</v>
      </c>
      <c r="H20" s="250">
        <f t="shared" si="0"/>
      </c>
      <c r="I20" s="250">
        <f t="shared" si="0"/>
      </c>
      <c r="J20" s="250">
        <f t="shared" si="0"/>
      </c>
      <c r="K20" s="250">
        <f t="shared" si="0"/>
      </c>
      <c r="L20" s="250">
        <f t="shared" si="0"/>
      </c>
      <c r="M20" s="250">
        <f t="shared" si="0"/>
      </c>
      <c r="N20" s="250">
        <f t="shared" si="0"/>
      </c>
      <c r="O20" s="250">
        <f t="shared" si="0"/>
      </c>
      <c r="P20" s="250">
        <f t="shared" si="0"/>
      </c>
      <c r="Q20" s="250">
        <f t="shared" si="0"/>
        <v>45</v>
      </c>
      <c r="R20" s="270">
        <f t="shared" si="0"/>
      </c>
      <c r="S20" s="103">
        <f t="shared" si="1"/>
        <v>45</v>
      </c>
      <c r="T20" s="107">
        <f t="shared" si="11"/>
        <v>0</v>
      </c>
      <c r="U20" s="215">
        <f t="shared" si="10"/>
        <v>122.89</v>
      </c>
      <c r="V20" s="210">
        <f t="shared" si="9"/>
        <v>13.42400000000002</v>
      </c>
      <c r="W20" s="108">
        <f t="shared" si="3"/>
        <v>-10</v>
      </c>
      <c r="X20" s="433">
        <f t="shared" si="4"/>
        <v>1</v>
      </c>
      <c r="Y20" s="196">
        <f t="shared" si="5"/>
        <v>2</v>
      </c>
      <c r="Z20" s="196">
        <f>IF($Y20="n/a","",_xlfn.IFERROR(COUNTIF($Y$2:$Y20,"="&amp;Y20),""))</f>
        <v>4</v>
      </c>
      <c r="AA20" s="196">
        <f>COUNTIF($X$2:X19,"&lt;"&amp;X20)</f>
        <v>0</v>
      </c>
      <c r="AB20" s="206">
        <f t="shared" si="6"/>
        <v>45</v>
      </c>
      <c r="AC20" s="212">
        <f t="shared" si="7"/>
        <v>35</v>
      </c>
    </row>
    <row r="21" spans="1:33" ht="12.75" thickBot="1">
      <c r="A21" s="361">
        <v>65</v>
      </c>
      <c r="B21" s="272" t="s">
        <v>109</v>
      </c>
      <c r="C21" s="272" t="str">
        <f t="shared" si="8"/>
        <v>peter whitaker</v>
      </c>
      <c r="D21" s="360" t="s">
        <v>26</v>
      </c>
      <c r="E21" s="330" t="s">
        <v>142</v>
      </c>
      <c r="F21" s="272"/>
      <c r="G21" s="272" t="s">
        <v>84</v>
      </c>
      <c r="H21" s="285">
        <f t="shared" si="0"/>
      </c>
      <c r="I21" s="285">
        <f t="shared" si="0"/>
      </c>
      <c r="J21" s="285">
        <f t="shared" si="0"/>
      </c>
      <c r="K21" s="285">
        <f t="shared" si="0"/>
      </c>
      <c r="L21" s="285">
        <f t="shared" si="0"/>
      </c>
      <c r="M21" s="285">
        <f t="shared" si="0"/>
      </c>
      <c r="N21" s="285">
        <f t="shared" si="0"/>
      </c>
      <c r="O21" s="285">
        <f t="shared" si="0"/>
      </c>
      <c r="P21" s="285">
        <f t="shared" si="0"/>
      </c>
      <c r="Q21" s="285">
        <f t="shared" si="0"/>
      </c>
      <c r="R21" s="286">
        <f t="shared" si="0"/>
      </c>
      <c r="S21" s="103">
        <f t="shared" si="1"/>
        <v>0</v>
      </c>
      <c r="T21" s="201">
        <f t="shared" si="11"/>
        <v>0</v>
      </c>
      <c r="U21" s="162">
        <f>_xlfn.IFERROR(VLOOKUP(D21,BenchmarksRd6,3,0)*86400,"")</f>
      </c>
      <c r="V21" s="271">
        <f t="shared" si="9"/>
      </c>
      <c r="W21" s="176"/>
      <c r="X21" s="434" t="str">
        <f t="shared" si="4"/>
        <v>n/a</v>
      </c>
      <c r="Y21" s="435" t="str">
        <f t="shared" si="5"/>
        <v>n/a</v>
      </c>
      <c r="Z21" s="435">
        <f>IF($Y21="n/a","",_xlfn.IFERROR(COUNTIF($Y$2:$Y21,"="&amp;Y21),""))</f>
      </c>
      <c r="AA21" s="435">
        <f>COUNTIF($X$2:X20,"&lt;"&amp;X21)</f>
        <v>0</v>
      </c>
      <c r="AB21" s="436">
        <f t="shared" si="6"/>
        <v>0</v>
      </c>
      <c r="AC21" s="213">
        <f t="shared" si="7"/>
        <v>0</v>
      </c>
      <c r="AE21" s="292"/>
      <c r="AF21" s="13"/>
      <c r="AG21" s="293"/>
    </row>
    <row r="22" spans="6:29" ht="12.75" thickBot="1">
      <c r="F22" s="175"/>
      <c r="G22" s="177" t="s">
        <v>27</v>
      </c>
      <c r="H22" s="178">
        <f aca="true" t="shared" si="12" ref="H22:S22">COUNT(H2:H21)</f>
        <v>1</v>
      </c>
      <c r="I22" s="178">
        <f t="shared" si="12"/>
        <v>2</v>
      </c>
      <c r="J22" s="178">
        <f t="shared" si="12"/>
        <v>1</v>
      </c>
      <c r="K22" s="178">
        <f t="shared" si="12"/>
        <v>0</v>
      </c>
      <c r="L22" s="178">
        <f t="shared" si="12"/>
        <v>1</v>
      </c>
      <c r="M22" s="178">
        <f t="shared" si="12"/>
        <v>3</v>
      </c>
      <c r="N22" s="178">
        <f t="shared" si="12"/>
        <v>0</v>
      </c>
      <c r="O22" s="178">
        <f t="shared" si="12"/>
        <v>0</v>
      </c>
      <c r="P22" s="178">
        <f t="shared" si="12"/>
        <v>1</v>
      </c>
      <c r="Q22" s="178">
        <f t="shared" si="12"/>
        <v>4</v>
      </c>
      <c r="R22" s="178">
        <f t="shared" si="12"/>
        <v>0</v>
      </c>
      <c r="S22" s="316">
        <f t="shared" si="12"/>
        <v>20</v>
      </c>
      <c r="T22" s="216"/>
      <c r="U22" s="216"/>
      <c r="V22" s="204"/>
      <c r="W22" s="216"/>
      <c r="X22" s="216"/>
      <c r="Y22" s="216"/>
      <c r="Z22" s="216"/>
      <c r="AA22" s="216"/>
      <c r="AB22" s="216"/>
      <c r="AC22" s="216"/>
    </row>
    <row r="23" spans="20:29" ht="12">
      <c r="T23" s="8"/>
      <c r="U23" s="8"/>
      <c r="V23" s="204"/>
      <c r="W23" s="8"/>
      <c r="X23" s="8"/>
      <c r="Y23" s="8"/>
      <c r="Z23" s="8"/>
      <c r="AA23" s="8"/>
      <c r="AB23" s="8"/>
      <c r="AC23" s="8"/>
    </row>
    <row r="24" spans="2:28" ht="12">
      <c r="B24" s="2"/>
      <c r="C24" s="2"/>
      <c r="D24" s="111"/>
      <c r="T24" s="111"/>
      <c r="X24" s="111"/>
      <c r="Y24" s="111"/>
      <c r="Z24" s="111"/>
      <c r="AA24" s="111"/>
      <c r="AB24" s="111"/>
    </row>
  </sheetData>
  <sheetProtection/>
  <mergeCells count="1">
    <mergeCell ref="AE1:AG1"/>
  </mergeCells>
  <conditionalFormatting sqref="B2">
    <cfRule type="expression" priority="67" dxfId="16" stopIfTrue="1">
      <formula>"IF(D2=""OPN"",0,1)"</formula>
    </cfRule>
    <cfRule type="expression" priority="68" dxfId="15" stopIfTrue="1">
      <formula>"if(d2=""OPN"")"</formula>
    </cfRule>
  </conditionalFormatting>
  <conditionalFormatting sqref="D2:D3 D5:D10">
    <cfRule type="containsText" priority="56" dxfId="2" operator="containsText" stopIfTrue="1" text="OPN">
      <formula>NOT(ISERROR(SEARCH("OPN",D2)))</formula>
    </cfRule>
    <cfRule type="containsText" priority="57" dxfId="1" operator="containsText" stopIfTrue="1" text="RES">
      <formula>NOT(ISERROR(SEARCH("RES",D2)))</formula>
    </cfRule>
    <cfRule type="containsText" priority="58" dxfId="0" operator="containsText" stopIfTrue="1" text="SMOD">
      <formula>NOT(ISERROR(SEARCH("SMOD",D2)))</formula>
    </cfRule>
    <cfRule type="containsText" priority="59" dxfId="17" operator="containsText" stopIfTrue="1" text="CDMOD">
      <formula>NOT(ISERROR(SEARCH("CDMOD",D2)))</formula>
    </cfRule>
    <cfRule type="containsText" priority="60" dxfId="18" operator="containsText" stopIfTrue="1" text="ABMOD">
      <formula>NOT(ISERROR(SEARCH("ABMOD",D2)))</formula>
    </cfRule>
    <cfRule type="containsText" priority="61" dxfId="19" operator="containsText" stopIfTrue="1" text="SND">
      <formula>NOT(ISERROR(SEARCH("SND",D2)))</formula>
    </cfRule>
    <cfRule type="containsText" priority="62" dxfId="20" operator="containsText" stopIfTrue="1" text="SNC">
      <formula>NOT(ISERROR(SEARCH("SNC",D2)))</formula>
    </cfRule>
    <cfRule type="containsText" priority="63" dxfId="21" operator="containsText" stopIfTrue="1" text="NBC">
      <formula>NOT(ISERROR(SEARCH("NBC",D2)))</formula>
    </cfRule>
    <cfRule type="containsText" priority="64" dxfId="22" operator="containsText" stopIfTrue="1" text="NAC">
      <formula>NOT(ISERROR(SEARCH("NAC",D2)))</formula>
    </cfRule>
    <cfRule type="containsText" priority="65" dxfId="23" operator="containsText" stopIfTrue="1" text="SNB">
      <formula>NOT(ISERROR(SEARCH("SNB",D2)))</formula>
    </cfRule>
    <cfRule type="containsText" priority="66" dxfId="24" operator="containsText" stopIfTrue="1" text="SNA">
      <formula>NOT(ISERROR(SEARCH("SNA",D2)))</formula>
    </cfRule>
  </conditionalFormatting>
  <conditionalFormatting sqref="D11:D16 D18">
    <cfRule type="containsText" priority="45" dxfId="2" operator="containsText" stopIfTrue="1" text="OPN">
      <formula>NOT(ISERROR(SEARCH("OPN",D11)))</formula>
    </cfRule>
    <cfRule type="containsText" priority="46" dxfId="1" operator="containsText" stopIfTrue="1" text="RES">
      <formula>NOT(ISERROR(SEARCH("RES",D11)))</formula>
    </cfRule>
    <cfRule type="containsText" priority="47" dxfId="0" operator="containsText" stopIfTrue="1" text="SMOD">
      <formula>NOT(ISERROR(SEARCH("SMOD",D11)))</formula>
    </cfRule>
    <cfRule type="containsText" priority="48" dxfId="17" operator="containsText" stopIfTrue="1" text="CDMOD">
      <formula>NOT(ISERROR(SEARCH("CDMOD",D11)))</formula>
    </cfRule>
    <cfRule type="containsText" priority="49" dxfId="18" operator="containsText" stopIfTrue="1" text="ABMOD">
      <formula>NOT(ISERROR(SEARCH("ABMOD",D11)))</formula>
    </cfRule>
    <cfRule type="containsText" priority="50" dxfId="19" operator="containsText" stopIfTrue="1" text="SND">
      <formula>NOT(ISERROR(SEARCH("SND",D11)))</formula>
    </cfRule>
    <cfRule type="containsText" priority="51" dxfId="20" operator="containsText" stopIfTrue="1" text="SNC">
      <formula>NOT(ISERROR(SEARCH("SNC",D11)))</formula>
    </cfRule>
    <cfRule type="containsText" priority="52" dxfId="21" operator="containsText" stopIfTrue="1" text="NBC">
      <formula>NOT(ISERROR(SEARCH("NBC",D11)))</formula>
    </cfRule>
    <cfRule type="containsText" priority="53" dxfId="22" operator="containsText" stopIfTrue="1" text="NAC">
      <formula>NOT(ISERROR(SEARCH("NAC",D11)))</formula>
    </cfRule>
    <cfRule type="containsText" priority="54" dxfId="23" operator="containsText" stopIfTrue="1" text="SNB">
      <formula>NOT(ISERROR(SEARCH("SNB",D11)))</formula>
    </cfRule>
    <cfRule type="containsText" priority="55" dxfId="24" operator="containsText" stopIfTrue="1" text="SNA">
      <formula>NOT(ISERROR(SEARCH("SNA",D11)))</formula>
    </cfRule>
  </conditionalFormatting>
  <conditionalFormatting sqref="D4">
    <cfRule type="containsText" priority="34" dxfId="2" operator="containsText" stopIfTrue="1" text="OPN">
      <formula>NOT(ISERROR(SEARCH("OPN",D4)))</formula>
    </cfRule>
    <cfRule type="containsText" priority="35" dxfId="1" operator="containsText" stopIfTrue="1" text="RES">
      <formula>NOT(ISERROR(SEARCH("RES",D4)))</formula>
    </cfRule>
    <cfRule type="containsText" priority="36" dxfId="0" operator="containsText" stopIfTrue="1" text="SMOD">
      <formula>NOT(ISERROR(SEARCH("SMOD",D4)))</formula>
    </cfRule>
    <cfRule type="containsText" priority="37" dxfId="17" operator="containsText" stopIfTrue="1" text="CDMOD">
      <formula>NOT(ISERROR(SEARCH("CDMOD",D4)))</formula>
    </cfRule>
    <cfRule type="containsText" priority="38" dxfId="18" operator="containsText" stopIfTrue="1" text="ABMOD">
      <formula>NOT(ISERROR(SEARCH("ABMOD",D4)))</formula>
    </cfRule>
    <cfRule type="containsText" priority="39" dxfId="19" operator="containsText" stopIfTrue="1" text="SND">
      <formula>NOT(ISERROR(SEARCH("SND",D4)))</formula>
    </cfRule>
    <cfRule type="containsText" priority="40" dxfId="20" operator="containsText" stopIfTrue="1" text="SNC">
      <formula>NOT(ISERROR(SEARCH("SNC",D4)))</formula>
    </cfRule>
    <cfRule type="containsText" priority="41" dxfId="21" operator="containsText" stopIfTrue="1" text="NBC">
      <formula>NOT(ISERROR(SEARCH("NBC",D4)))</formula>
    </cfRule>
    <cfRule type="containsText" priority="42" dxfId="22" operator="containsText" stopIfTrue="1" text="NAC">
      <formula>NOT(ISERROR(SEARCH("NAC",D4)))</formula>
    </cfRule>
    <cfRule type="containsText" priority="43" dxfId="23" operator="containsText" stopIfTrue="1" text="SNB">
      <formula>NOT(ISERROR(SEARCH("SNB",D4)))</formula>
    </cfRule>
    <cfRule type="containsText" priority="44" dxfId="24" operator="containsText" stopIfTrue="1" text="SNA">
      <formula>NOT(ISERROR(SEARCH("SNA",D4)))</formula>
    </cfRule>
  </conditionalFormatting>
  <conditionalFormatting sqref="D17">
    <cfRule type="containsText" priority="23" dxfId="2" operator="containsText" stopIfTrue="1" text="OPN">
      <formula>NOT(ISERROR(SEARCH("OPN",D17)))</formula>
    </cfRule>
    <cfRule type="containsText" priority="24" dxfId="1" operator="containsText" stopIfTrue="1" text="RES">
      <formula>NOT(ISERROR(SEARCH("RES",D17)))</formula>
    </cfRule>
    <cfRule type="containsText" priority="25" dxfId="0" operator="containsText" stopIfTrue="1" text="SMOD">
      <formula>NOT(ISERROR(SEARCH("SMOD",D17)))</formula>
    </cfRule>
    <cfRule type="containsText" priority="26" dxfId="17" operator="containsText" stopIfTrue="1" text="CDMOD">
      <formula>NOT(ISERROR(SEARCH("CDMOD",D17)))</formula>
    </cfRule>
    <cfRule type="containsText" priority="27" dxfId="18" operator="containsText" stopIfTrue="1" text="ABMOD">
      <formula>NOT(ISERROR(SEARCH("ABMOD",D17)))</formula>
    </cfRule>
    <cfRule type="containsText" priority="28" dxfId="19" operator="containsText" stopIfTrue="1" text="SND">
      <formula>NOT(ISERROR(SEARCH("SND",D17)))</formula>
    </cfRule>
    <cfRule type="containsText" priority="29" dxfId="20" operator="containsText" stopIfTrue="1" text="SNC">
      <formula>NOT(ISERROR(SEARCH("SNC",D17)))</formula>
    </cfRule>
    <cfRule type="containsText" priority="30" dxfId="21" operator="containsText" stopIfTrue="1" text="NBC">
      <formula>NOT(ISERROR(SEARCH("NBC",D17)))</formula>
    </cfRule>
    <cfRule type="containsText" priority="31" dxfId="22" operator="containsText" stopIfTrue="1" text="NAC">
      <formula>NOT(ISERROR(SEARCH("NAC",D17)))</formula>
    </cfRule>
    <cfRule type="containsText" priority="32" dxfId="23" operator="containsText" stopIfTrue="1" text="SNB">
      <formula>NOT(ISERROR(SEARCH("SNB",D17)))</formula>
    </cfRule>
    <cfRule type="containsText" priority="33" dxfId="24" operator="containsText" stopIfTrue="1" text="SNA">
      <formula>NOT(ISERROR(SEARCH("SNA",D17)))</formula>
    </cfRule>
  </conditionalFormatting>
  <conditionalFormatting sqref="D19:D21">
    <cfRule type="containsText" priority="1" dxfId="2" operator="containsText" stopIfTrue="1" text="OPN">
      <formula>NOT(ISERROR(SEARCH("OPN",D19)))</formula>
    </cfRule>
    <cfRule type="containsText" priority="2" dxfId="1" operator="containsText" stopIfTrue="1" text="RES">
      <formula>NOT(ISERROR(SEARCH("RES",D19)))</formula>
    </cfRule>
    <cfRule type="containsText" priority="3" dxfId="0" operator="containsText" stopIfTrue="1" text="SMOD">
      <formula>NOT(ISERROR(SEARCH("SMOD",D19)))</formula>
    </cfRule>
    <cfRule type="containsText" priority="4" dxfId="17" operator="containsText" stopIfTrue="1" text="CDMOD">
      <formula>NOT(ISERROR(SEARCH("CDMOD",D19)))</formula>
    </cfRule>
    <cfRule type="containsText" priority="5" dxfId="18" operator="containsText" stopIfTrue="1" text="ABMOD">
      <formula>NOT(ISERROR(SEARCH("ABMOD",D19)))</formula>
    </cfRule>
    <cfRule type="containsText" priority="6" dxfId="19" operator="containsText" stopIfTrue="1" text="SND">
      <formula>NOT(ISERROR(SEARCH("SND",D19)))</formula>
    </cfRule>
    <cfRule type="containsText" priority="7" dxfId="20" operator="containsText" stopIfTrue="1" text="SNC">
      <formula>NOT(ISERROR(SEARCH("SNC",D19)))</formula>
    </cfRule>
    <cfRule type="containsText" priority="8" dxfId="21" operator="containsText" stopIfTrue="1" text="NBC">
      <formula>NOT(ISERROR(SEARCH("NBC",D19)))</formula>
    </cfRule>
    <cfRule type="containsText" priority="9" dxfId="22" operator="containsText" stopIfTrue="1" text="NAC">
      <formula>NOT(ISERROR(SEARCH("NAC",D19)))</formula>
    </cfRule>
    <cfRule type="containsText" priority="10" dxfId="23" operator="containsText" stopIfTrue="1" text="SNB">
      <formula>NOT(ISERROR(SEARCH("SNB",D19)))</formula>
    </cfRule>
    <cfRule type="containsText" priority="11" dxfId="24" operator="containsText" stopIfTrue="1" text="SNA">
      <formula>NOT(ISERROR(SEARCH("SNA",D19)))</formula>
    </cfRule>
  </conditionalFormatting>
  <printOptions/>
  <pageMargins left="0.7" right="0.7" top="0.75" bottom="0.75" header="0.3" footer="0.3"/>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G27"/>
  <sheetViews>
    <sheetView zoomScale="90" zoomScaleNormal="90" zoomScalePageLayoutView="0" workbookViewId="0" topLeftCell="A1">
      <selection activeCell="AE2" sqref="AE2:AG12"/>
    </sheetView>
  </sheetViews>
  <sheetFormatPr defaultColWidth="8.8515625" defaultRowHeight="12.75"/>
  <cols>
    <col min="1" max="1" width="7.8515625" style="109" customWidth="1"/>
    <col min="2" max="2" width="18.8515625" style="110" customWidth="1"/>
    <col min="3" max="3" width="20.8515625" style="110" hidden="1" customWidth="1"/>
    <col min="4" max="4" width="7.7109375" style="110" bestFit="1" customWidth="1"/>
    <col min="5" max="5" width="10.421875" style="110" customWidth="1"/>
    <col min="6" max="6" width="14.28125" style="110" bestFit="1" customWidth="1"/>
    <col min="7" max="7" width="9.57421875" style="110" customWidth="1"/>
    <col min="8" max="18" width="7.7109375" style="110" customWidth="1"/>
    <col min="19" max="19" width="6.7109375" style="110" customWidth="1"/>
    <col min="20" max="20" width="7.8515625" style="110" customWidth="1"/>
    <col min="21" max="21" width="8.28125" style="0" customWidth="1"/>
    <col min="22" max="22" width="8.8515625" style="154" customWidth="1"/>
    <col min="23" max="23" width="8.8515625" style="0" customWidth="1"/>
    <col min="24" max="24" width="14.28125" style="110" hidden="1" customWidth="1"/>
    <col min="25" max="27" width="8.8515625" style="110" hidden="1" customWidth="1"/>
    <col min="28" max="28" width="11.421875" style="110" hidden="1" customWidth="1"/>
    <col min="29" max="29" width="8.8515625" style="0" customWidth="1"/>
    <col min="30" max="31" width="8.8515625" style="110" customWidth="1"/>
    <col min="32" max="32" width="21.00390625" style="110" bestFit="1" customWidth="1"/>
    <col min="33" max="33" width="9.57421875" style="110" customWidth="1"/>
    <col min="34" max="16384" width="8.8515625" style="110" customWidth="1"/>
  </cols>
  <sheetData>
    <row r="1" spans="1:33" s="109" customFormat="1" ht="42.75" customHeight="1" thickBot="1">
      <c r="A1" s="179" t="s">
        <v>23</v>
      </c>
      <c r="B1" s="180" t="s">
        <v>1</v>
      </c>
      <c r="C1" s="181" t="s">
        <v>1</v>
      </c>
      <c r="D1" s="181" t="s">
        <v>2</v>
      </c>
      <c r="E1" s="182" t="s">
        <v>24</v>
      </c>
      <c r="F1" s="183"/>
      <c r="G1" s="183" t="s">
        <v>25</v>
      </c>
      <c r="H1" s="184" t="s">
        <v>14</v>
      </c>
      <c r="I1" s="185" t="s">
        <v>13</v>
      </c>
      <c r="J1" s="186" t="s">
        <v>16</v>
      </c>
      <c r="K1" s="187" t="s">
        <v>52</v>
      </c>
      <c r="L1" s="188" t="s">
        <v>51</v>
      </c>
      <c r="M1" s="189" t="s">
        <v>21</v>
      </c>
      <c r="N1" s="190" t="s">
        <v>22</v>
      </c>
      <c r="O1" s="191" t="s">
        <v>50</v>
      </c>
      <c r="P1" s="192" t="s">
        <v>4</v>
      </c>
      <c r="Q1" s="193" t="s">
        <v>5</v>
      </c>
      <c r="R1" s="194" t="s">
        <v>3</v>
      </c>
      <c r="S1" s="323" t="s">
        <v>64</v>
      </c>
      <c r="T1" s="202" t="s">
        <v>95</v>
      </c>
      <c r="U1" s="202" t="s">
        <v>60</v>
      </c>
      <c r="V1" s="205" t="s">
        <v>61</v>
      </c>
      <c r="W1" s="203" t="s">
        <v>63</v>
      </c>
      <c r="X1" s="324" t="s">
        <v>93</v>
      </c>
      <c r="Y1" s="324" t="s">
        <v>2</v>
      </c>
      <c r="Z1" s="324" t="s">
        <v>97</v>
      </c>
      <c r="AA1" s="324" t="s">
        <v>89</v>
      </c>
      <c r="AB1" s="324" t="s">
        <v>94</v>
      </c>
      <c r="AC1" s="342" t="s">
        <v>98</v>
      </c>
      <c r="AE1" s="661" t="s">
        <v>108</v>
      </c>
      <c r="AF1" s="662"/>
      <c r="AG1" s="663"/>
    </row>
    <row r="2" spans="1:33" ht="12.75">
      <c r="A2" s="169">
        <v>6</v>
      </c>
      <c r="B2" s="170" t="s">
        <v>106</v>
      </c>
      <c r="C2" s="170" t="str">
        <f aca="true" t="shared" si="0" ref="C2:C24">LOWER(B2)</f>
        <v>russell garner</v>
      </c>
      <c r="D2" s="379" t="s">
        <v>16</v>
      </c>
      <c r="E2" s="380">
        <v>0.001119988425925926</v>
      </c>
      <c r="F2" s="381" t="s">
        <v>164</v>
      </c>
      <c r="G2" s="379" t="s">
        <v>165</v>
      </c>
      <c r="H2" s="263">
        <f>IF($D2=H$1,$S2,"")</f>
      </c>
      <c r="I2" s="263">
        <f aca="true" t="shared" si="1" ref="I2:R2">IF($D2=I$1,$S2,"")</f>
      </c>
      <c r="J2" s="263">
        <f t="shared" si="1"/>
        <v>100</v>
      </c>
      <c r="K2" s="263">
        <f t="shared" si="1"/>
      </c>
      <c r="L2" s="263">
        <f t="shared" si="1"/>
      </c>
      <c r="M2" s="263">
        <f t="shared" si="1"/>
      </c>
      <c r="N2" s="263">
        <f t="shared" si="1"/>
      </c>
      <c r="O2" s="263">
        <f t="shared" si="1"/>
      </c>
      <c r="P2" s="263">
        <f t="shared" si="1"/>
      </c>
      <c r="Q2" s="263">
        <f t="shared" si="1"/>
      </c>
      <c r="R2" s="263">
        <f t="shared" si="1"/>
      </c>
      <c r="S2" s="211">
        <f aca="true" t="shared" si="2" ref="S2:S24">_xlfn.IFERROR(VLOOKUP($Z2,Points2018,2,0),0)</f>
        <v>100</v>
      </c>
      <c r="T2" s="379">
        <f aca="true" t="shared" si="3" ref="T2:T24">AB2-S2</f>
        <v>0</v>
      </c>
      <c r="U2" s="264">
        <f aca="true" t="shared" si="4" ref="U2:U24">_xlfn.IFERROR(VLOOKUP(D2,BenchmarksRd2,3,0)*86400,"")</f>
        <v>97.475</v>
      </c>
      <c r="V2" s="265">
        <f>(($E2*86400)-U2)</f>
        <v>-0.7079999999999842</v>
      </c>
      <c r="W2" s="379">
        <f>IF(V2&lt;=0,10,IF(V2&lt;1,5,IF(V2&lt;2,0,IF(V2&lt;3,-5,-10))))</f>
        <v>10</v>
      </c>
      <c r="X2" s="432">
        <f aca="true" t="shared" si="5" ref="X2:X23">_xlfn.IFERROR(VLOOKUP(D2,Class2018,4,0),"n/a")</f>
        <v>5</v>
      </c>
      <c r="Y2" s="217">
        <f aca="true" t="shared" si="6" ref="Y2:Y24">_xlfn.IFERROR(VLOOKUP(D2,Class2018,3,0),"n/a")</f>
        <v>9</v>
      </c>
      <c r="Z2" s="217">
        <f>IF($Y2="n/a","",_xlfn.IFERROR(COUNTIF($Y$2:$Y2,"="&amp;Y2),""))</f>
        <v>1</v>
      </c>
      <c r="AA2" s="217">
        <f>COUNTIF($X1:X$2,"&lt;"&amp;X2)</f>
        <v>0</v>
      </c>
      <c r="AB2" s="247">
        <f aca="true" t="shared" si="7" ref="AB2:AB23">IF($Y2="n/a",0,_xlfn.IFERROR(VLOOKUP(Z2+AA2,Points2018,2,0),15))</f>
        <v>100</v>
      </c>
      <c r="AC2" s="474">
        <f aca="true" t="shared" si="8" ref="AC2:AC24">(S2+T2+W2)</f>
        <v>110</v>
      </c>
      <c r="AE2" s="251" t="s">
        <v>3</v>
      </c>
      <c r="AF2" s="420" t="s">
        <v>76</v>
      </c>
      <c r="AG2" s="421">
        <v>0.0012429050925925925</v>
      </c>
    </row>
    <row r="3" spans="1:33" ht="12.75">
      <c r="A3" s="112">
        <v>39</v>
      </c>
      <c r="B3" s="65" t="s">
        <v>82</v>
      </c>
      <c r="C3" s="65" t="str">
        <f t="shared" si="0"/>
        <v>paul ledwith</v>
      </c>
      <c r="D3" s="69" t="s">
        <v>13</v>
      </c>
      <c r="E3" s="393">
        <v>0.0011224537037037039</v>
      </c>
      <c r="F3" s="69"/>
      <c r="G3" s="69" t="s">
        <v>176</v>
      </c>
      <c r="H3" s="71">
        <f aca="true" t="shared" si="9" ref="H3:R24">IF($D3=H$1,$S3,"")</f>
      </c>
      <c r="I3" s="71">
        <f t="shared" si="9"/>
        <v>100</v>
      </c>
      <c r="J3" s="71">
        <f t="shared" si="9"/>
      </c>
      <c r="K3" s="71">
        <f t="shared" si="9"/>
      </c>
      <c r="L3" s="71">
        <f t="shared" si="9"/>
      </c>
      <c r="M3" s="71">
        <f t="shared" si="9"/>
      </c>
      <c r="N3" s="71">
        <f t="shared" si="9"/>
      </c>
      <c r="O3" s="71">
        <f t="shared" si="9"/>
      </c>
      <c r="P3" s="71">
        <f t="shared" si="9"/>
      </c>
      <c r="Q3" s="71">
        <f t="shared" si="9"/>
      </c>
      <c r="R3" s="71">
        <f t="shared" si="9"/>
      </c>
      <c r="S3" s="212">
        <f t="shared" si="2"/>
        <v>100</v>
      </c>
      <c r="T3" s="69">
        <f t="shared" si="3"/>
        <v>-25</v>
      </c>
      <c r="U3" s="262">
        <f t="shared" si="4"/>
        <v>95.917</v>
      </c>
      <c r="V3" s="207">
        <f>(($E3*86400)-U3)</f>
        <v>1.0630000000000166</v>
      </c>
      <c r="W3" s="69">
        <f>IF(V3&lt;=0,10,IF(V3&lt;1,5,IF(V3&lt;2,0,IF(V3&lt;3,-5,-10))))</f>
        <v>0</v>
      </c>
      <c r="X3" s="433">
        <f t="shared" si="5"/>
        <v>6</v>
      </c>
      <c r="Y3" s="196">
        <f t="shared" si="6"/>
        <v>10</v>
      </c>
      <c r="Z3" s="196">
        <f>IF($Y3="n/a","",_xlfn.IFERROR(COUNTIF($Y$2:$Y3,"="&amp;Y3),""))</f>
        <v>1</v>
      </c>
      <c r="AA3" s="196">
        <f>COUNTIF($X2:X$2,"&lt;"&amp;X3)</f>
        <v>1</v>
      </c>
      <c r="AB3" s="206">
        <f t="shared" si="7"/>
        <v>75</v>
      </c>
      <c r="AC3" s="345">
        <f t="shared" si="8"/>
        <v>75</v>
      </c>
      <c r="AE3" s="252" t="s">
        <v>5</v>
      </c>
      <c r="AF3" s="346" t="s">
        <v>77</v>
      </c>
      <c r="AG3" s="422" t="s">
        <v>172</v>
      </c>
    </row>
    <row r="4" spans="1:33" ht="12.75">
      <c r="A4" s="112">
        <v>124</v>
      </c>
      <c r="B4" s="65" t="s">
        <v>83</v>
      </c>
      <c r="C4" s="65" t="str">
        <f t="shared" si="0"/>
        <v>ray monik</v>
      </c>
      <c r="D4" s="69" t="s">
        <v>13</v>
      </c>
      <c r="E4" s="393">
        <v>0.0011433333333333332</v>
      </c>
      <c r="F4" s="69"/>
      <c r="G4" s="69" t="s">
        <v>165</v>
      </c>
      <c r="H4" s="71">
        <f t="shared" si="9"/>
      </c>
      <c r="I4" s="71">
        <f t="shared" si="9"/>
        <v>75</v>
      </c>
      <c r="J4" s="71">
        <f t="shared" si="9"/>
      </c>
      <c r="K4" s="71">
        <f t="shared" si="9"/>
      </c>
      <c r="L4" s="71">
        <f t="shared" si="9"/>
      </c>
      <c r="M4" s="71">
        <f t="shared" si="9"/>
      </c>
      <c r="N4" s="71">
        <f t="shared" si="9"/>
      </c>
      <c r="O4" s="71">
        <f t="shared" si="9"/>
      </c>
      <c r="P4" s="71">
        <f t="shared" si="9"/>
      </c>
      <c r="Q4" s="71">
        <f t="shared" si="9"/>
      </c>
      <c r="R4" s="71">
        <f t="shared" si="9"/>
      </c>
      <c r="S4" s="212">
        <f t="shared" si="2"/>
        <v>75</v>
      </c>
      <c r="T4" s="69">
        <f>AB4-S4</f>
        <v>-15</v>
      </c>
      <c r="U4" s="262">
        <f t="shared" si="4"/>
        <v>95.917</v>
      </c>
      <c r="V4" s="207">
        <f>(($E4*86400)-U4)</f>
        <v>2.8669999999999902</v>
      </c>
      <c r="W4" s="69">
        <f>IF(V4&lt;=0,10,IF(V4&lt;1,5,IF(V4&lt;2,0,IF(V4&lt;3,-5,-10))))</f>
        <v>-5</v>
      </c>
      <c r="X4" s="433">
        <f t="shared" si="5"/>
        <v>6</v>
      </c>
      <c r="Y4" s="196">
        <f t="shared" si="6"/>
        <v>10</v>
      </c>
      <c r="Z4" s="196">
        <f>IF($Y4="n/a","",_xlfn.IFERROR(COUNTIF($Y$2:$Y4,"="&amp;Y4),""))</f>
        <v>2</v>
      </c>
      <c r="AA4" s="196">
        <f>COUNTIF($X$2:X3,"&lt;"&amp;X4)</f>
        <v>1</v>
      </c>
      <c r="AB4" s="206">
        <f t="shared" si="7"/>
        <v>60</v>
      </c>
      <c r="AC4" s="345">
        <f t="shared" si="8"/>
        <v>55</v>
      </c>
      <c r="AE4" s="253" t="s">
        <v>4</v>
      </c>
      <c r="AF4" s="141" t="s">
        <v>74</v>
      </c>
      <c r="AG4" s="348">
        <v>0.0011998611111111112</v>
      </c>
    </row>
    <row r="5" spans="1:33" ht="12.75">
      <c r="A5" s="382">
        <v>46</v>
      </c>
      <c r="B5" s="383" t="s">
        <v>177</v>
      </c>
      <c r="C5" s="383" t="str">
        <f t="shared" si="0"/>
        <v>dean watchorn</v>
      </c>
      <c r="D5" s="384" t="s">
        <v>16</v>
      </c>
      <c r="E5" s="385">
        <v>0.0011538425925925926</v>
      </c>
      <c r="F5" s="384"/>
      <c r="G5" s="384" t="s">
        <v>175</v>
      </c>
      <c r="H5" s="386">
        <f t="shared" si="9"/>
      </c>
      <c r="I5" s="386">
        <f t="shared" si="9"/>
      </c>
      <c r="J5" s="386">
        <f t="shared" si="9"/>
        <v>75</v>
      </c>
      <c r="K5" s="386">
        <f t="shared" si="9"/>
      </c>
      <c r="L5" s="386">
        <f t="shared" si="9"/>
      </c>
      <c r="M5" s="386">
        <f t="shared" si="9"/>
      </c>
      <c r="N5" s="386">
        <f t="shared" si="9"/>
      </c>
      <c r="O5" s="386">
        <f t="shared" si="9"/>
      </c>
      <c r="P5" s="386">
        <f t="shared" si="9"/>
      </c>
      <c r="Q5" s="386">
        <f t="shared" si="9"/>
      </c>
      <c r="R5" s="386">
        <f t="shared" si="9"/>
      </c>
      <c r="S5" s="212">
        <f t="shared" si="2"/>
        <v>75</v>
      </c>
      <c r="T5" s="384">
        <f>AB5-S5</f>
        <v>0</v>
      </c>
      <c r="U5" s="387">
        <f t="shared" si="4"/>
        <v>97.475</v>
      </c>
      <c r="V5" s="388">
        <f aca="true" t="shared" si="10" ref="V5:V14">(($E5*86400)-U5)</f>
        <v>2.2169999999999987</v>
      </c>
      <c r="W5" s="384">
        <f aca="true" t="shared" si="11" ref="W5:W14">IF(V5&lt;=0,10,IF(V5&lt;1,5,IF(V5&lt;2,0,IF(V5&lt;3,-5,-10))))</f>
        <v>-5</v>
      </c>
      <c r="X5" s="433">
        <f t="shared" si="5"/>
        <v>5</v>
      </c>
      <c r="Y5" s="196">
        <f t="shared" si="6"/>
        <v>9</v>
      </c>
      <c r="Z5" s="196">
        <f>IF($Y5="n/a","",_xlfn.IFERROR(COUNTIF($Y$2:$Y5,"="&amp;Y5),""))</f>
        <v>2</v>
      </c>
      <c r="AA5" s="196">
        <f>COUNTIF($X$2:X4,"&lt;"&amp;X5)</f>
        <v>0</v>
      </c>
      <c r="AB5" s="206">
        <f t="shared" si="7"/>
        <v>75</v>
      </c>
      <c r="AC5" s="345">
        <f t="shared" si="8"/>
        <v>70</v>
      </c>
      <c r="AE5" s="254" t="s">
        <v>50</v>
      </c>
      <c r="AF5" s="134" t="s">
        <v>74</v>
      </c>
      <c r="AG5" s="349">
        <v>0.001192476851851852</v>
      </c>
    </row>
    <row r="6" spans="1:33" ht="12.75">
      <c r="A6" s="112">
        <v>555</v>
      </c>
      <c r="B6" s="65" t="s">
        <v>73</v>
      </c>
      <c r="C6" s="65" t="str">
        <f t="shared" si="0"/>
        <v>tim meaden</v>
      </c>
      <c r="D6" s="69" t="s">
        <v>13</v>
      </c>
      <c r="E6" s="393">
        <v>0.0011796643518518519</v>
      </c>
      <c r="F6" s="69"/>
      <c r="G6" s="69" t="s">
        <v>86</v>
      </c>
      <c r="H6" s="71">
        <f t="shared" si="9"/>
      </c>
      <c r="I6" s="71">
        <f t="shared" si="9"/>
        <v>60</v>
      </c>
      <c r="J6" s="71">
        <f t="shared" si="9"/>
      </c>
      <c r="K6" s="71">
        <f t="shared" si="9"/>
      </c>
      <c r="L6" s="71">
        <f t="shared" si="9"/>
      </c>
      <c r="M6" s="71">
        <f t="shared" si="9"/>
      </c>
      <c r="N6" s="71">
        <f t="shared" si="9"/>
      </c>
      <c r="O6" s="71">
        <f t="shared" si="9"/>
      </c>
      <c r="P6" s="71">
        <f t="shared" si="9"/>
      </c>
      <c r="Q6" s="71">
        <f t="shared" si="9"/>
      </c>
      <c r="R6" s="71">
        <f t="shared" si="9"/>
      </c>
      <c r="S6" s="212">
        <f t="shared" si="2"/>
        <v>60</v>
      </c>
      <c r="T6" s="69">
        <f t="shared" si="3"/>
        <v>-30</v>
      </c>
      <c r="U6" s="262">
        <f t="shared" si="4"/>
        <v>95.917</v>
      </c>
      <c r="V6" s="207">
        <f t="shared" si="10"/>
        <v>6.006</v>
      </c>
      <c r="W6" s="69">
        <f t="shared" si="11"/>
        <v>-10</v>
      </c>
      <c r="X6" s="433">
        <f t="shared" si="5"/>
        <v>6</v>
      </c>
      <c r="Y6" s="196">
        <f t="shared" si="6"/>
        <v>10</v>
      </c>
      <c r="Z6" s="196">
        <f>IF($Y6="n/a","",_xlfn.IFERROR(COUNTIF($Y$2:$Y6,"="&amp;Y6),""))</f>
        <v>3</v>
      </c>
      <c r="AA6" s="196">
        <f>COUNTIF($X$2:X5,"&lt;"&amp;X6)</f>
        <v>2</v>
      </c>
      <c r="AB6" s="206">
        <f t="shared" si="7"/>
        <v>30</v>
      </c>
      <c r="AC6" s="345">
        <f t="shared" si="8"/>
        <v>20</v>
      </c>
      <c r="AE6" s="255" t="s">
        <v>22</v>
      </c>
      <c r="AF6" s="160" t="s">
        <v>169</v>
      </c>
      <c r="AG6" s="350">
        <v>0.0012158101851851852</v>
      </c>
    </row>
    <row r="7" spans="1:33" ht="12.75">
      <c r="A7" s="103">
        <v>88</v>
      </c>
      <c r="B7" s="394" t="s">
        <v>74</v>
      </c>
      <c r="C7" s="394" t="str">
        <f t="shared" si="0"/>
        <v>randy stagno navarra</v>
      </c>
      <c r="D7" s="344" t="s">
        <v>52</v>
      </c>
      <c r="E7" s="395">
        <v>0.0011817939814814814</v>
      </c>
      <c r="F7" s="344"/>
      <c r="G7" s="344" t="s">
        <v>168</v>
      </c>
      <c r="H7" s="396">
        <f t="shared" si="9"/>
      </c>
      <c r="I7" s="396">
        <f t="shared" si="9"/>
      </c>
      <c r="J7" s="396">
        <f t="shared" si="9"/>
      </c>
      <c r="K7" s="396">
        <f t="shared" si="9"/>
        <v>100</v>
      </c>
      <c r="L7" s="396">
        <f t="shared" si="9"/>
      </c>
      <c r="M7" s="396">
        <f t="shared" si="9"/>
      </c>
      <c r="N7" s="396">
        <f t="shared" si="9"/>
      </c>
      <c r="O7" s="396">
        <f t="shared" si="9"/>
      </c>
      <c r="P7" s="396">
        <f t="shared" si="9"/>
      </c>
      <c r="Q7" s="396">
        <f t="shared" si="9"/>
      </c>
      <c r="R7" s="396">
        <f t="shared" si="9"/>
      </c>
      <c r="S7" s="212">
        <f t="shared" si="2"/>
        <v>100</v>
      </c>
      <c r="T7" s="344">
        <f t="shared" si="3"/>
        <v>0</v>
      </c>
      <c r="U7" s="397">
        <f t="shared" si="4"/>
        <v>100.768</v>
      </c>
      <c r="V7" s="398">
        <f t="shared" si="10"/>
        <v>1.3389999999999844</v>
      </c>
      <c r="W7" s="344">
        <f t="shared" si="11"/>
        <v>0</v>
      </c>
      <c r="X7" s="433">
        <f t="shared" si="5"/>
        <v>4</v>
      </c>
      <c r="Y7" s="196">
        <f t="shared" si="6"/>
        <v>8</v>
      </c>
      <c r="Z7" s="196">
        <f>IF($Y7="n/a","",_xlfn.IFERROR(COUNTIF($Y$2:$Y7,"="&amp;Y7),""))</f>
        <v>1</v>
      </c>
      <c r="AA7" s="196">
        <f>COUNTIF($X$2:X6,"&lt;"&amp;X7)</f>
        <v>0</v>
      </c>
      <c r="AB7" s="206">
        <f t="shared" si="7"/>
        <v>100</v>
      </c>
      <c r="AC7" s="345">
        <f t="shared" si="8"/>
        <v>100</v>
      </c>
      <c r="AE7" s="256" t="s">
        <v>21</v>
      </c>
      <c r="AF7" s="44" t="s">
        <v>75</v>
      </c>
      <c r="AG7" s="423" t="s">
        <v>170</v>
      </c>
    </row>
    <row r="8" spans="1:33" ht="12.75">
      <c r="A8" s="103">
        <v>50</v>
      </c>
      <c r="B8" s="394" t="s">
        <v>72</v>
      </c>
      <c r="C8" s="394" t="str">
        <f t="shared" si="0"/>
        <v>alan conrad</v>
      </c>
      <c r="D8" s="344" t="s">
        <v>52</v>
      </c>
      <c r="E8" s="395">
        <v>0.0011877083333333334</v>
      </c>
      <c r="F8" s="344"/>
      <c r="G8" s="344" t="s">
        <v>86</v>
      </c>
      <c r="H8" s="396">
        <f t="shared" si="9"/>
      </c>
      <c r="I8" s="396">
        <f t="shared" si="9"/>
      </c>
      <c r="J8" s="396">
        <f t="shared" si="9"/>
      </c>
      <c r="K8" s="396">
        <f t="shared" si="9"/>
        <v>75</v>
      </c>
      <c r="L8" s="396">
        <f t="shared" si="9"/>
      </c>
      <c r="M8" s="396">
        <f t="shared" si="9"/>
      </c>
      <c r="N8" s="396">
        <f t="shared" si="9"/>
      </c>
      <c r="O8" s="396">
        <f t="shared" si="9"/>
      </c>
      <c r="P8" s="396">
        <f t="shared" si="9"/>
      </c>
      <c r="Q8" s="396">
        <f t="shared" si="9"/>
      </c>
      <c r="R8" s="396">
        <f t="shared" si="9"/>
      </c>
      <c r="S8" s="212">
        <f t="shared" si="2"/>
        <v>75</v>
      </c>
      <c r="T8" s="344">
        <f>AB8-S8</f>
        <v>0</v>
      </c>
      <c r="U8" s="397">
        <f t="shared" si="4"/>
        <v>100.768</v>
      </c>
      <c r="V8" s="398">
        <f t="shared" si="10"/>
        <v>1.8500000000000085</v>
      </c>
      <c r="W8" s="344">
        <f t="shared" si="11"/>
        <v>0</v>
      </c>
      <c r="X8" s="433">
        <f t="shared" si="5"/>
        <v>4</v>
      </c>
      <c r="Y8" s="196">
        <f t="shared" si="6"/>
        <v>8</v>
      </c>
      <c r="Z8" s="196">
        <f>IF($Y8="n/a","",_xlfn.IFERROR(COUNTIF($Y$2:$Y8,"="&amp;Y8),""))</f>
        <v>2</v>
      </c>
      <c r="AA8" s="196">
        <f>COUNTIF($X$2:X7,"&lt;"&amp;X8)</f>
        <v>0</v>
      </c>
      <c r="AB8" s="206">
        <f t="shared" si="7"/>
        <v>75</v>
      </c>
      <c r="AC8" s="345">
        <f>(S8+T8+W8)</f>
        <v>75</v>
      </c>
      <c r="AE8" s="257" t="s">
        <v>51</v>
      </c>
      <c r="AF8" s="351" t="s">
        <v>88</v>
      </c>
      <c r="AG8" s="424" t="s">
        <v>167</v>
      </c>
    </row>
    <row r="9" spans="1:33" ht="12.75">
      <c r="A9" s="389">
        <v>21</v>
      </c>
      <c r="B9" s="390" t="s">
        <v>88</v>
      </c>
      <c r="C9" s="390" t="str">
        <f t="shared" si="0"/>
        <v>gavin newman</v>
      </c>
      <c r="D9" s="391" t="s">
        <v>51</v>
      </c>
      <c r="E9" s="399">
        <v>0.0011904398148148147</v>
      </c>
      <c r="F9" s="351" t="s">
        <v>164</v>
      </c>
      <c r="G9" s="391" t="s">
        <v>171</v>
      </c>
      <c r="H9" s="392">
        <f t="shared" si="9"/>
      </c>
      <c r="I9" s="392">
        <f t="shared" si="9"/>
      </c>
      <c r="J9" s="392">
        <f t="shared" si="9"/>
      </c>
      <c r="K9" s="392">
        <f t="shared" si="9"/>
      </c>
      <c r="L9" s="392">
        <f t="shared" si="9"/>
        <v>100</v>
      </c>
      <c r="M9" s="392">
        <f t="shared" si="9"/>
      </c>
      <c r="N9" s="392">
        <f t="shared" si="9"/>
      </c>
      <c r="O9" s="392">
        <f t="shared" si="9"/>
      </c>
      <c r="P9" s="392">
        <f t="shared" si="9"/>
      </c>
      <c r="Q9" s="392">
        <f t="shared" si="9"/>
      </c>
      <c r="R9" s="392">
        <f t="shared" si="9"/>
      </c>
      <c r="S9" s="212">
        <f t="shared" si="2"/>
        <v>100</v>
      </c>
      <c r="T9" s="391">
        <f>AB9-S9</f>
        <v>0</v>
      </c>
      <c r="U9" s="400">
        <f t="shared" si="4"/>
        <v>103.162</v>
      </c>
      <c r="V9" s="401">
        <f t="shared" si="10"/>
        <v>-0.30800000000000693</v>
      </c>
      <c r="W9" s="391">
        <f t="shared" si="11"/>
        <v>10</v>
      </c>
      <c r="X9" s="433">
        <f t="shared" si="5"/>
        <v>4</v>
      </c>
      <c r="Y9" s="196">
        <f t="shared" si="6"/>
        <v>7</v>
      </c>
      <c r="Z9" s="196">
        <f>IF($Y9="n/a","",_xlfn.IFERROR(COUNTIF($Y$2:$Y9,"="&amp;Y9),""))</f>
        <v>1</v>
      </c>
      <c r="AA9" s="196">
        <f>COUNTIF($X$2:X8,"&lt;"&amp;X9)</f>
        <v>0</v>
      </c>
      <c r="AB9" s="206">
        <f t="shared" si="7"/>
        <v>100</v>
      </c>
      <c r="AC9" s="345">
        <f>(S9+T9+W9)</f>
        <v>110</v>
      </c>
      <c r="AE9" s="258" t="s">
        <v>52</v>
      </c>
      <c r="AF9" s="352" t="s">
        <v>72</v>
      </c>
      <c r="AG9" s="353">
        <v>0.0011662962962962964</v>
      </c>
    </row>
    <row r="10" spans="1:33" ht="12.75">
      <c r="A10" s="105">
        <v>62</v>
      </c>
      <c r="B10" s="35" t="s">
        <v>75</v>
      </c>
      <c r="C10" s="35" t="str">
        <f t="shared" si="0"/>
        <v>noel heritage</v>
      </c>
      <c r="D10" s="36" t="s">
        <v>21</v>
      </c>
      <c r="E10" s="402">
        <v>0.0012207407407407408</v>
      </c>
      <c r="F10" s="36"/>
      <c r="G10" s="36" t="s">
        <v>86</v>
      </c>
      <c r="H10" s="249">
        <f t="shared" si="9"/>
      </c>
      <c r="I10" s="249">
        <f t="shared" si="9"/>
      </c>
      <c r="J10" s="249">
        <f t="shared" si="9"/>
      </c>
      <c r="K10" s="249">
        <f t="shared" si="9"/>
      </c>
      <c r="L10" s="249">
        <f t="shared" si="9"/>
      </c>
      <c r="M10" s="249">
        <f t="shared" si="9"/>
        <v>100</v>
      </c>
      <c r="N10" s="249">
        <f t="shared" si="9"/>
      </c>
      <c r="O10" s="249">
        <f t="shared" si="9"/>
      </c>
      <c r="P10" s="249">
        <f t="shared" si="9"/>
      </c>
      <c r="Q10" s="249">
        <f t="shared" si="9"/>
      </c>
      <c r="R10" s="249">
        <f t="shared" si="9"/>
      </c>
      <c r="S10" s="212">
        <f t="shared" si="2"/>
        <v>100</v>
      </c>
      <c r="T10" s="36">
        <f>AB10-S10</f>
        <v>0</v>
      </c>
      <c r="U10" s="214">
        <f t="shared" si="4"/>
        <v>104.61699999999999</v>
      </c>
      <c r="V10" s="208">
        <f t="shared" si="10"/>
        <v>0.8550000000000182</v>
      </c>
      <c r="W10" s="36">
        <f t="shared" si="11"/>
        <v>5</v>
      </c>
      <c r="X10" s="433">
        <f t="shared" si="5"/>
        <v>2</v>
      </c>
      <c r="Y10" s="196">
        <f t="shared" si="6"/>
        <v>4</v>
      </c>
      <c r="Z10" s="196">
        <f>IF($Y10="n/a","",_xlfn.IFERROR(COUNTIF($Y$2:$Y10,"="&amp;Y10),""))</f>
        <v>1</v>
      </c>
      <c r="AA10" s="196">
        <f>COUNTIF($X$2:X9,"&lt;"&amp;X10)</f>
        <v>0</v>
      </c>
      <c r="AB10" s="206">
        <f t="shared" si="7"/>
        <v>100</v>
      </c>
      <c r="AC10" s="345">
        <f>(S10+T10+W10)</f>
        <v>105</v>
      </c>
      <c r="AE10" s="259" t="s">
        <v>16</v>
      </c>
      <c r="AF10" s="354" t="s">
        <v>106</v>
      </c>
      <c r="AG10" s="355">
        <v>0.0011281828703703703</v>
      </c>
    </row>
    <row r="11" spans="1:33" ht="12.75">
      <c r="A11" s="105">
        <v>141</v>
      </c>
      <c r="B11" s="35" t="s">
        <v>111</v>
      </c>
      <c r="C11" s="35" t="str">
        <f t="shared" si="0"/>
        <v>max lloyd</v>
      </c>
      <c r="D11" s="36" t="s">
        <v>21</v>
      </c>
      <c r="E11" s="402">
        <v>0.001227974537037037</v>
      </c>
      <c r="F11" s="36"/>
      <c r="G11" s="36" t="s">
        <v>166</v>
      </c>
      <c r="H11" s="249">
        <f t="shared" si="9"/>
      </c>
      <c r="I11" s="249">
        <f t="shared" si="9"/>
      </c>
      <c r="J11" s="249">
        <f t="shared" si="9"/>
      </c>
      <c r="K11" s="249">
        <f t="shared" si="9"/>
      </c>
      <c r="L11" s="249">
        <f t="shared" si="9"/>
      </c>
      <c r="M11" s="249">
        <f t="shared" si="9"/>
        <v>75</v>
      </c>
      <c r="N11" s="249">
        <f t="shared" si="9"/>
      </c>
      <c r="O11" s="249">
        <f t="shared" si="9"/>
      </c>
      <c r="P11" s="249">
        <f t="shared" si="9"/>
      </c>
      <c r="Q11" s="249">
        <f t="shared" si="9"/>
      </c>
      <c r="R11" s="249">
        <f t="shared" si="9"/>
      </c>
      <c r="S11" s="212">
        <f t="shared" si="2"/>
        <v>75</v>
      </c>
      <c r="T11" s="36">
        <f>AB11-S11</f>
        <v>0</v>
      </c>
      <c r="U11" s="214">
        <f t="shared" si="4"/>
        <v>104.61699999999999</v>
      </c>
      <c r="V11" s="208">
        <f t="shared" si="10"/>
        <v>1.480000000000004</v>
      </c>
      <c r="W11" s="36">
        <f t="shared" si="11"/>
        <v>0</v>
      </c>
      <c r="X11" s="433">
        <f t="shared" si="5"/>
        <v>2</v>
      </c>
      <c r="Y11" s="196">
        <f t="shared" si="6"/>
        <v>4</v>
      </c>
      <c r="Z11" s="196">
        <f>IF($Y11="n/a","",_xlfn.IFERROR(COUNTIF($Y$2:$Y11,"="&amp;Y11),""))</f>
        <v>2</v>
      </c>
      <c r="AA11" s="196">
        <f>COUNTIF($X$2:X10,"&lt;"&amp;X11)</f>
        <v>0</v>
      </c>
      <c r="AB11" s="206">
        <f t="shared" si="7"/>
        <v>75</v>
      </c>
      <c r="AC11" s="345">
        <f>(S11+T11+W11)</f>
        <v>75</v>
      </c>
      <c r="AE11" s="260" t="s">
        <v>13</v>
      </c>
      <c r="AF11" s="356" t="s">
        <v>82</v>
      </c>
      <c r="AG11" s="357">
        <v>0.001110150462962963</v>
      </c>
    </row>
    <row r="12" spans="1:33" ht="13.5" thickBot="1">
      <c r="A12" s="107">
        <v>9</v>
      </c>
      <c r="B12" s="47" t="s">
        <v>80</v>
      </c>
      <c r="C12" s="47" t="str">
        <f t="shared" si="0"/>
        <v>steve williamsz</v>
      </c>
      <c r="D12" s="48" t="s">
        <v>5</v>
      </c>
      <c r="E12" s="403">
        <v>0.0012377662037037036</v>
      </c>
      <c r="F12" s="48"/>
      <c r="G12" s="48" t="s">
        <v>178</v>
      </c>
      <c r="H12" s="250">
        <f t="shared" si="9"/>
      </c>
      <c r="I12" s="250">
        <f t="shared" si="9"/>
      </c>
      <c r="J12" s="250">
        <f t="shared" si="9"/>
      </c>
      <c r="K12" s="250">
        <f t="shared" si="9"/>
      </c>
      <c r="L12" s="250">
        <f t="shared" si="9"/>
      </c>
      <c r="M12" s="250">
        <f t="shared" si="9"/>
      </c>
      <c r="N12" s="250">
        <f t="shared" si="9"/>
      </c>
      <c r="O12" s="250">
        <f t="shared" si="9"/>
      </c>
      <c r="P12" s="250">
        <f t="shared" si="9"/>
      </c>
      <c r="Q12" s="250">
        <f t="shared" si="9"/>
        <v>100</v>
      </c>
      <c r="R12" s="250">
        <f t="shared" si="9"/>
      </c>
      <c r="S12" s="212">
        <f t="shared" si="2"/>
        <v>100</v>
      </c>
      <c r="T12" s="48">
        <f>AB12-S12</f>
        <v>0</v>
      </c>
      <c r="U12" s="215">
        <f t="shared" si="4"/>
        <v>105.3</v>
      </c>
      <c r="V12" s="210">
        <f t="shared" si="10"/>
        <v>1.6430000000000007</v>
      </c>
      <c r="W12" s="48">
        <f t="shared" si="11"/>
        <v>0</v>
      </c>
      <c r="X12" s="433">
        <f t="shared" si="5"/>
        <v>1</v>
      </c>
      <c r="Y12" s="196">
        <f t="shared" si="6"/>
        <v>2</v>
      </c>
      <c r="Z12" s="196">
        <f>IF($Y12="n/a","",_xlfn.IFERROR(COUNTIF($Y$2:$Y12,"="&amp;Y12),""))</f>
        <v>1</v>
      </c>
      <c r="AA12" s="196">
        <f>COUNTIF($X$2:X11,"&lt;"&amp;X12)</f>
        <v>0</v>
      </c>
      <c r="AB12" s="206">
        <f t="shared" si="7"/>
        <v>100</v>
      </c>
      <c r="AC12" s="345">
        <f>(S12+T12+W12)</f>
        <v>100</v>
      </c>
      <c r="AE12" s="261" t="s">
        <v>14</v>
      </c>
      <c r="AF12" s="425" t="s">
        <v>162</v>
      </c>
      <c r="AG12" s="426" t="s">
        <v>163</v>
      </c>
    </row>
    <row r="13" spans="1:29" ht="12.75">
      <c r="A13" s="281">
        <v>26</v>
      </c>
      <c r="B13" s="142" t="s">
        <v>76</v>
      </c>
      <c r="C13" s="142" t="str">
        <f t="shared" si="0"/>
        <v>robert downes</v>
      </c>
      <c r="D13" s="418" t="s">
        <v>4</v>
      </c>
      <c r="E13" s="419">
        <v>0.0012381481481481482</v>
      </c>
      <c r="F13" s="418"/>
      <c r="G13" s="418" t="s">
        <v>168</v>
      </c>
      <c r="H13" s="279">
        <f t="shared" si="9"/>
      </c>
      <c r="I13" s="279">
        <f t="shared" si="9"/>
      </c>
      <c r="J13" s="279">
        <f t="shared" si="9"/>
      </c>
      <c r="K13" s="279">
        <f t="shared" si="9"/>
      </c>
      <c r="L13" s="279">
        <f t="shared" si="9"/>
      </c>
      <c r="M13" s="279">
        <f t="shared" si="9"/>
      </c>
      <c r="N13" s="279">
        <f t="shared" si="9"/>
      </c>
      <c r="O13" s="279">
        <f t="shared" si="9"/>
      </c>
      <c r="P13" s="279">
        <f t="shared" si="9"/>
        <v>100</v>
      </c>
      <c r="Q13" s="279">
        <f t="shared" si="9"/>
      </c>
      <c r="R13" s="279">
        <f t="shared" si="9"/>
      </c>
      <c r="S13" s="212">
        <f t="shared" si="2"/>
        <v>100</v>
      </c>
      <c r="T13" s="418">
        <f t="shared" si="3"/>
        <v>-55</v>
      </c>
      <c r="U13" s="282">
        <f t="shared" si="4"/>
        <v>103.668</v>
      </c>
      <c r="V13" s="283">
        <f t="shared" si="10"/>
        <v>3.3079999999999927</v>
      </c>
      <c r="W13" s="418">
        <f t="shared" si="11"/>
        <v>-10</v>
      </c>
      <c r="X13" s="433">
        <f t="shared" si="5"/>
        <v>3</v>
      </c>
      <c r="Y13" s="196">
        <f t="shared" si="6"/>
        <v>5</v>
      </c>
      <c r="Z13" s="196">
        <f>IF($Y13="n/a","",_xlfn.IFERROR(COUNTIF($Y$2:$Y13,"="&amp;Y13),""))</f>
        <v>1</v>
      </c>
      <c r="AA13" s="196">
        <f>COUNTIF($X$2:X12,"&lt;"&amp;X13)</f>
        <v>3</v>
      </c>
      <c r="AB13" s="206">
        <f t="shared" si="7"/>
        <v>45</v>
      </c>
      <c r="AC13" s="345">
        <f t="shared" si="8"/>
        <v>35</v>
      </c>
    </row>
    <row r="14" spans="1:29" ht="12">
      <c r="A14" s="409">
        <v>33</v>
      </c>
      <c r="B14" s="135" t="s">
        <v>133</v>
      </c>
      <c r="C14" s="135" t="str">
        <f t="shared" si="0"/>
        <v>david adam</v>
      </c>
      <c r="D14" s="410" t="s">
        <v>50</v>
      </c>
      <c r="E14" s="411">
        <v>0.0012431712962962963</v>
      </c>
      <c r="F14" s="410"/>
      <c r="G14" s="410" t="s">
        <v>171</v>
      </c>
      <c r="H14" s="412">
        <f t="shared" si="9"/>
      </c>
      <c r="I14" s="412">
        <f t="shared" si="9"/>
      </c>
      <c r="J14" s="412">
        <f t="shared" si="9"/>
      </c>
      <c r="K14" s="412">
        <f t="shared" si="9"/>
      </c>
      <c r="L14" s="412">
        <f t="shared" si="9"/>
      </c>
      <c r="M14" s="412">
        <f t="shared" si="9"/>
      </c>
      <c r="N14" s="412">
        <f t="shared" si="9"/>
      </c>
      <c r="O14" s="412">
        <f t="shared" si="9"/>
        <v>100</v>
      </c>
      <c r="P14" s="412">
        <f t="shared" si="9"/>
      </c>
      <c r="Q14" s="412">
        <f t="shared" si="9"/>
      </c>
      <c r="R14" s="412">
        <f t="shared" si="9"/>
      </c>
      <c r="S14" s="212">
        <f t="shared" si="2"/>
        <v>100</v>
      </c>
      <c r="T14" s="410">
        <f t="shared" si="3"/>
        <v>-55</v>
      </c>
      <c r="U14" s="413">
        <f t="shared" si="4"/>
        <v>103.03</v>
      </c>
      <c r="V14" s="414">
        <f t="shared" si="10"/>
        <v>4.3799999999999955</v>
      </c>
      <c r="W14" s="410">
        <f t="shared" si="11"/>
        <v>-10</v>
      </c>
      <c r="X14" s="433">
        <f t="shared" si="5"/>
        <v>3</v>
      </c>
      <c r="Y14" s="196">
        <f t="shared" si="6"/>
        <v>6</v>
      </c>
      <c r="Z14" s="196">
        <f>IF($Y14="n/a","",_xlfn.IFERROR(COUNTIF($Y$2:$Y14,"="&amp;Y14),""))</f>
        <v>1</v>
      </c>
      <c r="AA14" s="196">
        <f>COUNTIF($X$2:X13,"&lt;"&amp;X14)</f>
        <v>3</v>
      </c>
      <c r="AB14" s="206">
        <f t="shared" si="7"/>
        <v>45</v>
      </c>
      <c r="AC14" s="345">
        <f t="shared" si="8"/>
        <v>35</v>
      </c>
    </row>
    <row r="15" spans="1:29" ht="12">
      <c r="A15" s="347">
        <v>14</v>
      </c>
      <c r="B15" s="378" t="s">
        <v>197</v>
      </c>
      <c r="C15" s="1" t="str">
        <f t="shared" si="0"/>
        <v>jarrah pitt</v>
      </c>
      <c r="D15" s="8" t="s">
        <v>26</v>
      </c>
      <c r="E15" s="358">
        <v>0.001267627314814815</v>
      </c>
      <c r="F15" s="8"/>
      <c r="G15" s="8" t="s">
        <v>171</v>
      </c>
      <c r="H15" s="248">
        <f t="shared" si="9"/>
      </c>
      <c r="I15" s="248">
        <f t="shared" si="9"/>
      </c>
      <c r="J15" s="248">
        <f t="shared" si="9"/>
      </c>
      <c r="K15" s="248">
        <f t="shared" si="9"/>
      </c>
      <c r="L15" s="248">
        <f t="shared" si="9"/>
      </c>
      <c r="M15" s="248">
        <f t="shared" si="9"/>
      </c>
      <c r="N15" s="248">
        <f t="shared" si="9"/>
      </c>
      <c r="O15" s="248">
        <f t="shared" si="9"/>
      </c>
      <c r="P15" s="248">
        <f t="shared" si="9"/>
      </c>
      <c r="Q15" s="248">
        <f t="shared" si="9"/>
      </c>
      <c r="R15" s="248">
        <f t="shared" si="9"/>
      </c>
      <c r="S15" s="212">
        <f t="shared" si="2"/>
        <v>0</v>
      </c>
      <c r="T15" s="12">
        <f t="shared" si="3"/>
        <v>0</v>
      </c>
      <c r="U15" s="155">
        <f t="shared" si="4"/>
      </c>
      <c r="V15" s="209"/>
      <c r="W15" s="12"/>
      <c r="X15" s="433" t="str">
        <f t="shared" si="5"/>
        <v>n/a</v>
      </c>
      <c r="Y15" s="196" t="str">
        <f t="shared" si="6"/>
        <v>n/a</v>
      </c>
      <c r="Z15" s="196">
        <f>IF($Y15="n/a","",_xlfn.IFERROR(COUNTIF($Y$2:$Y15,"="&amp;Y15),""))</f>
      </c>
      <c r="AA15" s="196">
        <f>COUNTIF($X$2:X14,"&lt;"&amp;X15)</f>
        <v>0</v>
      </c>
      <c r="AB15" s="206">
        <f t="shared" si="7"/>
        <v>0</v>
      </c>
      <c r="AC15" s="345">
        <f t="shared" si="8"/>
        <v>0</v>
      </c>
    </row>
    <row r="16" spans="1:29" ht="12">
      <c r="A16" s="107">
        <v>77</v>
      </c>
      <c r="B16" s="47" t="s">
        <v>78</v>
      </c>
      <c r="C16" s="47" t="str">
        <f t="shared" si="0"/>
        <v>simeon ouzas</v>
      </c>
      <c r="D16" s="48" t="s">
        <v>5</v>
      </c>
      <c r="E16" s="403">
        <v>0.0012683449074074075</v>
      </c>
      <c r="F16" s="48"/>
      <c r="G16" s="48" t="s">
        <v>168</v>
      </c>
      <c r="H16" s="250">
        <f t="shared" si="9"/>
      </c>
      <c r="I16" s="250">
        <f t="shared" si="9"/>
      </c>
      <c r="J16" s="250">
        <f t="shared" si="9"/>
      </c>
      <c r="K16" s="250">
        <f t="shared" si="9"/>
      </c>
      <c r="L16" s="250">
        <f t="shared" si="9"/>
      </c>
      <c r="M16" s="250">
        <f t="shared" si="9"/>
      </c>
      <c r="N16" s="250">
        <f t="shared" si="9"/>
      </c>
      <c r="O16" s="250">
        <f t="shared" si="9"/>
      </c>
      <c r="P16" s="250">
        <f t="shared" si="9"/>
      </c>
      <c r="Q16" s="250">
        <f t="shared" si="9"/>
        <v>75</v>
      </c>
      <c r="R16" s="250">
        <f t="shared" si="9"/>
      </c>
      <c r="S16" s="212">
        <f t="shared" si="2"/>
        <v>75</v>
      </c>
      <c r="T16" s="48">
        <f t="shared" si="3"/>
        <v>0</v>
      </c>
      <c r="U16" s="215">
        <f t="shared" si="4"/>
        <v>105.3</v>
      </c>
      <c r="V16" s="210">
        <f>(($E16*86400)-U16)</f>
        <v>4.285000000000011</v>
      </c>
      <c r="W16" s="48">
        <f>IF(V16&lt;=0,10,IF(V16&lt;1,5,IF(V16&lt;2,0,IF(V16&lt;3,-5,-10))))</f>
        <v>-10</v>
      </c>
      <c r="X16" s="433">
        <f t="shared" si="5"/>
        <v>1</v>
      </c>
      <c r="Y16" s="196">
        <f t="shared" si="6"/>
        <v>2</v>
      </c>
      <c r="Z16" s="196">
        <f>IF($Y16="n/a","",_xlfn.IFERROR(COUNTIF($Y$2:$Y16,"="&amp;Y16),""))</f>
        <v>2</v>
      </c>
      <c r="AA16" s="196">
        <f>COUNTIF($X$2:X15,"&lt;"&amp;X16)</f>
        <v>0</v>
      </c>
      <c r="AB16" s="206">
        <f t="shared" si="7"/>
        <v>75</v>
      </c>
      <c r="AC16" s="345">
        <f t="shared" si="8"/>
        <v>65</v>
      </c>
    </row>
    <row r="17" spans="1:29" ht="12">
      <c r="A17" s="347">
        <v>205</v>
      </c>
      <c r="B17" s="1" t="s">
        <v>173</v>
      </c>
      <c r="C17" s="1" t="str">
        <f t="shared" si="0"/>
        <v>john reid</v>
      </c>
      <c r="D17" s="8" t="s">
        <v>26</v>
      </c>
      <c r="E17" s="358">
        <v>0.0012883796296296296</v>
      </c>
      <c r="F17" s="8"/>
      <c r="G17" s="8" t="s">
        <v>166</v>
      </c>
      <c r="H17" s="248">
        <f t="shared" si="9"/>
      </c>
      <c r="I17" s="248">
        <f t="shared" si="9"/>
      </c>
      <c r="J17" s="248">
        <f t="shared" si="9"/>
      </c>
      <c r="K17" s="248">
        <f t="shared" si="9"/>
      </c>
      <c r="L17" s="248">
        <f t="shared" si="9"/>
      </c>
      <c r="M17" s="248">
        <f t="shared" si="9"/>
      </c>
      <c r="N17" s="248">
        <f t="shared" si="9"/>
      </c>
      <c r="O17" s="248">
        <f t="shared" si="9"/>
      </c>
      <c r="P17" s="248">
        <f t="shared" si="9"/>
      </c>
      <c r="Q17" s="248">
        <f t="shared" si="9"/>
      </c>
      <c r="R17" s="248">
        <f t="shared" si="9"/>
      </c>
      <c r="S17" s="212">
        <f t="shared" si="2"/>
        <v>0</v>
      </c>
      <c r="T17" s="12">
        <f t="shared" si="3"/>
        <v>0</v>
      </c>
      <c r="U17" s="155">
        <f t="shared" si="4"/>
      </c>
      <c r="V17" s="209"/>
      <c r="W17" s="12"/>
      <c r="X17" s="433" t="str">
        <f t="shared" si="5"/>
        <v>n/a</v>
      </c>
      <c r="Y17" s="196" t="str">
        <f t="shared" si="6"/>
        <v>n/a</v>
      </c>
      <c r="Z17" s="196">
        <f>IF($Y17="n/a","",_xlfn.IFERROR(COUNTIF($Y$2:$Y17,"="&amp;Y17),""))</f>
      </c>
      <c r="AA17" s="196">
        <f>COUNTIF($X$2:X16,"&lt;"&amp;X17)</f>
        <v>0</v>
      </c>
      <c r="AB17" s="206">
        <f t="shared" si="7"/>
        <v>0</v>
      </c>
      <c r="AC17" s="345">
        <f t="shared" si="8"/>
        <v>0</v>
      </c>
    </row>
    <row r="18" spans="1:29" ht="12">
      <c r="A18" s="107">
        <v>43</v>
      </c>
      <c r="B18" s="47" t="s">
        <v>79</v>
      </c>
      <c r="C18" s="47" t="str">
        <f t="shared" si="0"/>
        <v>john downes</v>
      </c>
      <c r="D18" s="48" t="s">
        <v>5</v>
      </c>
      <c r="E18" s="403">
        <v>0.0013022569444444444</v>
      </c>
      <c r="F18" s="48"/>
      <c r="G18" s="48" t="s">
        <v>171</v>
      </c>
      <c r="H18" s="250">
        <f t="shared" si="9"/>
      </c>
      <c r="I18" s="250">
        <f t="shared" si="9"/>
      </c>
      <c r="J18" s="250">
        <f t="shared" si="9"/>
      </c>
      <c r="K18" s="250">
        <f t="shared" si="9"/>
      </c>
      <c r="L18" s="250">
        <f t="shared" si="9"/>
      </c>
      <c r="M18" s="250">
        <f t="shared" si="9"/>
      </c>
      <c r="N18" s="250">
        <f t="shared" si="9"/>
      </c>
      <c r="O18" s="250">
        <f t="shared" si="9"/>
      </c>
      <c r="P18" s="250">
        <f t="shared" si="9"/>
      </c>
      <c r="Q18" s="250">
        <f t="shared" si="9"/>
        <v>60</v>
      </c>
      <c r="R18" s="250">
        <f t="shared" si="9"/>
      </c>
      <c r="S18" s="212">
        <f t="shared" si="2"/>
        <v>60</v>
      </c>
      <c r="T18" s="48">
        <f t="shared" si="3"/>
        <v>0</v>
      </c>
      <c r="U18" s="215">
        <f t="shared" si="4"/>
        <v>105.3</v>
      </c>
      <c r="V18" s="210">
        <f>(($E18*86400)-U18)</f>
        <v>7.215000000000003</v>
      </c>
      <c r="W18" s="48">
        <f>IF(V18&lt;=0,10,IF(V18&lt;1,5,IF(V18&lt;2,0,IF(V18&lt;3,-5,-10))))</f>
        <v>-10</v>
      </c>
      <c r="X18" s="433">
        <f t="shared" si="5"/>
        <v>1</v>
      </c>
      <c r="Y18" s="196">
        <f t="shared" si="6"/>
        <v>2</v>
      </c>
      <c r="Z18" s="196">
        <f>IF($Y18="n/a","",_xlfn.IFERROR(COUNTIF($Y$2:$Y18,"="&amp;Y18),""))</f>
        <v>3</v>
      </c>
      <c r="AA18" s="196">
        <f>COUNTIF($X$2:X17,"&lt;"&amp;X18)</f>
        <v>0</v>
      </c>
      <c r="AB18" s="206">
        <f t="shared" si="7"/>
        <v>60</v>
      </c>
      <c r="AC18" s="345">
        <f t="shared" si="8"/>
        <v>50</v>
      </c>
    </row>
    <row r="19" spans="1:29" ht="12">
      <c r="A19" s="107">
        <v>32</v>
      </c>
      <c r="B19" s="47" t="s">
        <v>112</v>
      </c>
      <c r="C19" s="47" t="str">
        <f t="shared" si="0"/>
        <v>matthew cavell</v>
      </c>
      <c r="D19" s="48" t="s">
        <v>5</v>
      </c>
      <c r="E19" s="403">
        <v>0.001305011574074074</v>
      </c>
      <c r="F19" s="48"/>
      <c r="G19" s="48" t="s">
        <v>171</v>
      </c>
      <c r="H19" s="250">
        <f t="shared" si="9"/>
      </c>
      <c r="I19" s="250">
        <f t="shared" si="9"/>
      </c>
      <c r="J19" s="250">
        <f t="shared" si="9"/>
      </c>
      <c r="K19" s="250">
        <f t="shared" si="9"/>
      </c>
      <c r="L19" s="250">
        <f t="shared" si="9"/>
      </c>
      <c r="M19" s="250">
        <f t="shared" si="9"/>
      </c>
      <c r="N19" s="250">
        <f t="shared" si="9"/>
      </c>
      <c r="O19" s="250">
        <f t="shared" si="9"/>
      </c>
      <c r="P19" s="250">
        <f t="shared" si="9"/>
      </c>
      <c r="Q19" s="250">
        <f t="shared" si="9"/>
        <v>45</v>
      </c>
      <c r="R19" s="250">
        <f t="shared" si="9"/>
      </c>
      <c r="S19" s="212">
        <f t="shared" si="2"/>
        <v>45</v>
      </c>
      <c r="T19" s="48">
        <f t="shared" si="3"/>
        <v>0</v>
      </c>
      <c r="U19" s="215">
        <f t="shared" si="4"/>
        <v>105.3</v>
      </c>
      <c r="V19" s="210">
        <f>(($E19*86400)-U19)</f>
        <v>7.453000000000003</v>
      </c>
      <c r="W19" s="48">
        <f>IF(V19&lt;=0,10,IF(V19&lt;1,5,IF(V19&lt;2,0,IF(V19&lt;3,-5,-10))))</f>
        <v>-10</v>
      </c>
      <c r="X19" s="433">
        <f t="shared" si="5"/>
        <v>1</v>
      </c>
      <c r="Y19" s="196">
        <f t="shared" si="6"/>
        <v>2</v>
      </c>
      <c r="Z19" s="196">
        <f>IF($Y19="n/a","",_xlfn.IFERROR(COUNTIF($Y$2:$Y19,"="&amp;Y19),""))</f>
        <v>4</v>
      </c>
      <c r="AA19" s="196">
        <f>COUNTIF($X$2:X18,"&lt;"&amp;X19)</f>
        <v>0</v>
      </c>
      <c r="AB19" s="206">
        <f t="shared" si="7"/>
        <v>45</v>
      </c>
      <c r="AC19" s="345">
        <f t="shared" si="8"/>
        <v>35</v>
      </c>
    </row>
    <row r="20" spans="1:29" ht="12">
      <c r="A20" s="281">
        <v>112</v>
      </c>
      <c r="B20" s="142" t="s">
        <v>174</v>
      </c>
      <c r="C20" s="142" t="str">
        <f t="shared" si="0"/>
        <v>ian vague</v>
      </c>
      <c r="D20" s="418" t="s">
        <v>4</v>
      </c>
      <c r="E20" s="419">
        <v>0.0013061921296296296</v>
      </c>
      <c r="F20" s="418"/>
      <c r="G20" s="418" t="s">
        <v>178</v>
      </c>
      <c r="H20" s="279">
        <f t="shared" si="9"/>
      </c>
      <c r="I20" s="279">
        <f t="shared" si="9"/>
      </c>
      <c r="J20" s="279">
        <f t="shared" si="9"/>
      </c>
      <c r="K20" s="279">
        <f t="shared" si="9"/>
      </c>
      <c r="L20" s="279">
        <f t="shared" si="9"/>
      </c>
      <c r="M20" s="279">
        <f t="shared" si="9"/>
      </c>
      <c r="N20" s="279">
        <f t="shared" si="9"/>
      </c>
      <c r="O20" s="279">
        <f t="shared" si="9"/>
      </c>
      <c r="P20" s="279">
        <f t="shared" si="9"/>
        <v>75</v>
      </c>
      <c r="Q20" s="279">
        <f t="shared" si="9"/>
      </c>
      <c r="R20" s="279">
        <f t="shared" si="9"/>
      </c>
      <c r="S20" s="212">
        <f t="shared" si="2"/>
        <v>75</v>
      </c>
      <c r="T20" s="418">
        <f t="shared" si="3"/>
        <v>-60</v>
      </c>
      <c r="U20" s="282">
        <f t="shared" si="4"/>
        <v>103.668</v>
      </c>
      <c r="V20" s="283">
        <f>(($E20*86400)-U20)</f>
        <v>9.186999999999983</v>
      </c>
      <c r="W20" s="418">
        <f>IF(V20&lt;=0,10,IF(V20&lt;1,5,IF(V20&lt;2,0,IF(V20&lt;3,-5,-10))))</f>
        <v>-10</v>
      </c>
      <c r="X20" s="433">
        <f t="shared" si="5"/>
        <v>3</v>
      </c>
      <c r="Y20" s="196">
        <f t="shared" si="6"/>
        <v>5</v>
      </c>
      <c r="Z20" s="196">
        <f>IF($Y20="n/a","",_xlfn.IFERROR(COUNTIF($Y$2:$Y20,"="&amp;Y20),""))</f>
        <v>2</v>
      </c>
      <c r="AA20" s="196">
        <f>COUNTIF($X$2:X19,"&lt;"&amp;X20)</f>
        <v>6</v>
      </c>
      <c r="AB20" s="206">
        <f t="shared" si="7"/>
        <v>15</v>
      </c>
      <c r="AC20" s="345">
        <f t="shared" si="8"/>
        <v>5</v>
      </c>
    </row>
    <row r="21" spans="1:29" ht="12">
      <c r="A21" s="347">
        <v>16</v>
      </c>
      <c r="B21" s="1" t="s">
        <v>179</v>
      </c>
      <c r="C21" s="1" t="str">
        <f t="shared" si="0"/>
        <v>isaac pittolo</v>
      </c>
      <c r="D21" s="8" t="s">
        <v>26</v>
      </c>
      <c r="E21" s="358">
        <v>0.001330462962962963</v>
      </c>
      <c r="F21" s="8"/>
      <c r="G21" s="8" t="s">
        <v>171</v>
      </c>
      <c r="H21" s="248">
        <f t="shared" si="9"/>
      </c>
      <c r="I21" s="248">
        <f t="shared" si="9"/>
      </c>
      <c r="J21" s="248">
        <f t="shared" si="9"/>
      </c>
      <c r="K21" s="248">
        <f t="shared" si="9"/>
      </c>
      <c r="L21" s="248">
        <f t="shared" si="9"/>
      </c>
      <c r="M21" s="248">
        <f t="shared" si="9"/>
      </c>
      <c r="N21" s="248">
        <f t="shared" si="9"/>
      </c>
      <c r="O21" s="248">
        <f t="shared" si="9"/>
      </c>
      <c r="P21" s="248">
        <f t="shared" si="9"/>
      </c>
      <c r="Q21" s="248">
        <f t="shared" si="9"/>
      </c>
      <c r="R21" s="248">
        <f t="shared" si="9"/>
      </c>
      <c r="S21" s="212">
        <f t="shared" si="2"/>
        <v>0</v>
      </c>
      <c r="T21" s="12">
        <f t="shared" si="3"/>
        <v>0</v>
      </c>
      <c r="U21" s="155">
        <f t="shared" si="4"/>
      </c>
      <c r="V21" s="209"/>
      <c r="W21" s="12"/>
      <c r="X21" s="433" t="str">
        <f t="shared" si="5"/>
        <v>n/a</v>
      </c>
      <c r="Y21" s="196" t="str">
        <f t="shared" si="6"/>
        <v>n/a</v>
      </c>
      <c r="Z21" s="196">
        <f>IF($Y21="n/a","",_xlfn.IFERROR(COUNTIF($Y$2:$Y21,"="&amp;Y21),""))</f>
      </c>
      <c r="AA21" s="196">
        <f>COUNTIF($X$2:X20,"&lt;"&amp;X21)</f>
        <v>0</v>
      </c>
      <c r="AB21" s="206">
        <f t="shared" si="7"/>
        <v>0</v>
      </c>
      <c r="AC21" s="345">
        <f t="shared" si="8"/>
        <v>0</v>
      </c>
    </row>
    <row r="22" spans="1:29" ht="12">
      <c r="A22" s="404">
        <v>4</v>
      </c>
      <c r="B22" s="405" t="s">
        <v>180</v>
      </c>
      <c r="C22" s="405" t="str">
        <f t="shared" si="0"/>
        <v>kutay dal</v>
      </c>
      <c r="D22" s="406" t="s">
        <v>3</v>
      </c>
      <c r="E22" s="407">
        <v>0.0013310763888888888</v>
      </c>
      <c r="F22" s="406"/>
      <c r="G22" s="406" t="s">
        <v>171</v>
      </c>
      <c r="H22" s="408">
        <f t="shared" si="9"/>
      </c>
      <c r="I22" s="408">
        <f t="shared" si="9"/>
      </c>
      <c r="J22" s="408">
        <f t="shared" si="9"/>
      </c>
      <c r="K22" s="408">
        <f t="shared" si="9"/>
      </c>
      <c r="L22" s="408">
        <f t="shared" si="9"/>
      </c>
      <c r="M22" s="408">
        <f t="shared" si="9"/>
      </c>
      <c r="N22" s="408">
        <f t="shared" si="9"/>
      </c>
      <c r="O22" s="408">
        <f t="shared" si="9"/>
      </c>
      <c r="P22" s="408">
        <f t="shared" si="9"/>
      </c>
      <c r="Q22" s="408">
        <f t="shared" si="9"/>
      </c>
      <c r="R22" s="408">
        <f t="shared" si="9"/>
        <v>100</v>
      </c>
      <c r="S22" s="212">
        <f t="shared" si="2"/>
        <v>100</v>
      </c>
      <c r="T22" s="406">
        <f t="shared" si="3"/>
        <v>0</v>
      </c>
      <c r="U22" s="416">
        <f t="shared" si="4"/>
        <v>107.387</v>
      </c>
      <c r="V22" s="417">
        <f>(($E22*86400)-U22)</f>
        <v>7.617999999999995</v>
      </c>
      <c r="W22" s="406">
        <f>IF(V22&lt;=0,10,IF(V22&lt;1,5,IF(V22&lt;2,0,IF(V22&lt;3,-5,-10))))</f>
        <v>-10</v>
      </c>
      <c r="X22" s="433">
        <f t="shared" si="5"/>
        <v>1</v>
      </c>
      <c r="Y22" s="196">
        <f t="shared" si="6"/>
        <v>1</v>
      </c>
      <c r="Z22" s="196">
        <f>IF($Y22="n/a","",_xlfn.IFERROR(COUNTIF($Y$2:$Y22,"="&amp;Y22),""))</f>
        <v>1</v>
      </c>
      <c r="AA22" s="196">
        <f>COUNTIF($X$2:X21,"&lt;"&amp;X22)</f>
        <v>0</v>
      </c>
      <c r="AB22" s="206">
        <f t="shared" si="7"/>
        <v>100</v>
      </c>
      <c r="AC22" s="345">
        <f t="shared" si="8"/>
        <v>90</v>
      </c>
    </row>
    <row r="23" spans="1:29" ht="12">
      <c r="A23" s="347">
        <v>29</v>
      </c>
      <c r="B23" s="1" t="s">
        <v>181</v>
      </c>
      <c r="C23" s="1" t="str">
        <f t="shared" si="0"/>
        <v>andrew potter</v>
      </c>
      <c r="D23" s="8" t="s">
        <v>26</v>
      </c>
      <c r="E23" s="358">
        <v>0.0013329629629629629</v>
      </c>
      <c r="F23" s="8"/>
      <c r="G23" s="8" t="s">
        <v>166</v>
      </c>
      <c r="H23" s="248">
        <f t="shared" si="9"/>
      </c>
      <c r="I23" s="248">
        <f t="shared" si="9"/>
      </c>
      <c r="J23" s="248">
        <f t="shared" si="9"/>
      </c>
      <c r="K23" s="248">
        <f t="shared" si="9"/>
      </c>
      <c r="L23" s="248">
        <f t="shared" si="9"/>
      </c>
      <c r="M23" s="248">
        <f t="shared" si="9"/>
      </c>
      <c r="N23" s="248">
        <f t="shared" si="9"/>
      </c>
      <c r="O23" s="248">
        <f t="shared" si="9"/>
      </c>
      <c r="P23" s="248">
        <f t="shared" si="9"/>
      </c>
      <c r="Q23" s="248">
        <f t="shared" si="9"/>
      </c>
      <c r="R23" s="248">
        <f t="shared" si="9"/>
      </c>
      <c r="S23" s="212">
        <f t="shared" si="2"/>
        <v>0</v>
      </c>
      <c r="T23" s="12">
        <f t="shared" si="3"/>
        <v>0</v>
      </c>
      <c r="U23" s="155">
        <f t="shared" si="4"/>
      </c>
      <c r="V23" s="209"/>
      <c r="W23" s="12"/>
      <c r="X23" s="433" t="str">
        <f t="shared" si="5"/>
        <v>n/a</v>
      </c>
      <c r="Y23" s="196" t="str">
        <f t="shared" si="6"/>
        <v>n/a</v>
      </c>
      <c r="Z23" s="196">
        <f>IF($Y23="n/a","",_xlfn.IFERROR(COUNTIF($Y$2:$Y23,"="&amp;Y23),""))</f>
      </c>
      <c r="AA23" s="196">
        <f>COUNTIF($X$2:X22,"&lt;"&amp;X23)</f>
        <v>0</v>
      </c>
      <c r="AB23" s="206">
        <f t="shared" si="7"/>
        <v>0</v>
      </c>
      <c r="AC23" s="345">
        <f t="shared" si="8"/>
        <v>0</v>
      </c>
    </row>
    <row r="24" spans="1:29" ht="12.75" thickBot="1">
      <c r="A24" s="361">
        <v>37</v>
      </c>
      <c r="B24" s="272" t="s">
        <v>182</v>
      </c>
      <c r="C24" s="272" t="str">
        <f t="shared" si="0"/>
        <v>lachlan stephens</v>
      </c>
      <c r="D24" s="360" t="s">
        <v>26</v>
      </c>
      <c r="E24" s="359">
        <v>0.001333263888888889</v>
      </c>
      <c r="F24" s="360"/>
      <c r="G24" s="360" t="s">
        <v>171</v>
      </c>
      <c r="H24" s="285">
        <f t="shared" si="9"/>
      </c>
      <c r="I24" s="285">
        <f t="shared" si="9"/>
      </c>
      <c r="J24" s="285">
        <f t="shared" si="9"/>
      </c>
      <c r="K24" s="285">
        <f t="shared" si="9"/>
      </c>
      <c r="L24" s="285">
        <f t="shared" si="9"/>
      </c>
      <c r="M24" s="285">
        <f t="shared" si="9"/>
      </c>
      <c r="N24" s="285">
        <f t="shared" si="9"/>
      </c>
      <c r="O24" s="285">
        <f t="shared" si="9"/>
      </c>
      <c r="P24" s="285">
        <f t="shared" si="9"/>
      </c>
      <c r="Q24" s="285">
        <f t="shared" si="9"/>
      </c>
      <c r="R24" s="285">
        <f t="shared" si="9"/>
      </c>
      <c r="S24" s="213">
        <f t="shared" si="2"/>
        <v>0</v>
      </c>
      <c r="T24" s="473">
        <f t="shared" si="3"/>
        <v>0</v>
      </c>
      <c r="U24" s="162">
        <f t="shared" si="4"/>
      </c>
      <c r="V24" s="271"/>
      <c r="W24" s="473"/>
      <c r="X24" s="434" t="s">
        <v>214</v>
      </c>
      <c r="Y24" s="435" t="str">
        <f t="shared" si="6"/>
        <v>n/a</v>
      </c>
      <c r="Z24" s="435">
        <f>IF($Y24="n/a","",_xlfn.IFERROR(COUNTIF($Y$2:$Y24,"="&amp;Y24),""))</f>
      </c>
      <c r="AA24" s="435">
        <f>COUNTIF($X$2:X23,"&lt;"&amp;X24)</f>
        <v>0</v>
      </c>
      <c r="AB24" s="436">
        <v>0</v>
      </c>
      <c r="AC24" s="475">
        <f t="shared" si="8"/>
        <v>0</v>
      </c>
    </row>
    <row r="25" spans="6:29" ht="12.75" thickBot="1">
      <c r="F25" s="175"/>
      <c r="G25" s="177" t="s">
        <v>27</v>
      </c>
      <c r="H25" s="178">
        <f aca="true" t="shared" si="12" ref="H25:S25">COUNT(H2:H24)</f>
        <v>0</v>
      </c>
      <c r="I25" s="178">
        <f t="shared" si="12"/>
        <v>3</v>
      </c>
      <c r="J25" s="178">
        <f t="shared" si="12"/>
        <v>2</v>
      </c>
      <c r="K25" s="178">
        <f t="shared" si="12"/>
        <v>2</v>
      </c>
      <c r="L25" s="178">
        <f t="shared" si="12"/>
        <v>1</v>
      </c>
      <c r="M25" s="178">
        <f t="shared" si="12"/>
        <v>2</v>
      </c>
      <c r="N25" s="178">
        <f t="shared" si="12"/>
        <v>0</v>
      </c>
      <c r="O25" s="178">
        <f t="shared" si="12"/>
        <v>1</v>
      </c>
      <c r="P25" s="178">
        <f t="shared" si="12"/>
        <v>2</v>
      </c>
      <c r="Q25" s="178">
        <f t="shared" si="12"/>
        <v>4</v>
      </c>
      <c r="R25" s="178">
        <f t="shared" si="12"/>
        <v>1</v>
      </c>
      <c r="S25" s="316">
        <f t="shared" si="12"/>
        <v>23</v>
      </c>
      <c r="T25" s="216"/>
      <c r="U25" s="216"/>
      <c r="V25" s="204"/>
      <c r="W25" s="216"/>
      <c r="X25" s="216"/>
      <c r="Y25" s="216"/>
      <c r="Z25" s="216"/>
      <c r="AA25" s="216"/>
      <c r="AB25" s="216"/>
      <c r="AC25" s="216"/>
    </row>
    <row r="26" spans="20:29" ht="12">
      <c r="T26" s="8"/>
      <c r="U26" s="1"/>
      <c r="V26" s="204"/>
      <c r="W26" s="1"/>
      <c r="X26" s="8"/>
      <c r="Y26" s="8"/>
      <c r="Z26" s="8"/>
      <c r="AA26" s="8"/>
      <c r="AB26" s="8"/>
      <c r="AC26" s="1"/>
    </row>
    <row r="27" spans="2:28" ht="12">
      <c r="B27" s="2"/>
      <c r="C27" s="2"/>
      <c r="D27" s="111"/>
      <c r="T27" s="111"/>
      <c r="X27" s="111"/>
      <c r="Y27" s="111"/>
      <c r="Z27" s="111"/>
      <c r="AA27" s="111"/>
      <c r="AB27" s="111"/>
    </row>
  </sheetData>
  <sheetProtection/>
  <mergeCells count="1">
    <mergeCell ref="AE1:AG1"/>
  </mergeCells>
  <printOptions/>
  <pageMargins left="0.7" right="0.7" top="0.75" bottom="0.75" header="0.3" footer="0.3"/>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H59"/>
  <sheetViews>
    <sheetView zoomScale="90" zoomScaleNormal="90" zoomScalePageLayoutView="0" workbookViewId="0" topLeftCell="A1">
      <selection activeCell="A2" sqref="A2"/>
    </sheetView>
  </sheetViews>
  <sheetFormatPr defaultColWidth="8.8515625" defaultRowHeight="12.75"/>
  <cols>
    <col min="1" max="1" width="7.8515625" style="109" customWidth="1"/>
    <col min="2" max="2" width="24.00390625" style="110" customWidth="1"/>
    <col min="3" max="3" width="20.8515625" style="110" hidden="1" customWidth="1"/>
    <col min="4" max="4" width="9.7109375" style="110" bestFit="1" customWidth="1"/>
    <col min="5" max="5" width="14.28125" style="110" bestFit="1" customWidth="1"/>
    <col min="6" max="6" width="11.421875" style="110" customWidth="1"/>
    <col min="7" max="7" width="10.421875" style="110" customWidth="1"/>
    <col min="8" max="18" width="7.7109375" style="110" customWidth="1"/>
    <col min="19" max="19" width="6.7109375" style="110" customWidth="1"/>
    <col min="20" max="20" width="7.8515625" style="110" customWidth="1"/>
    <col min="21" max="21" width="8.28125" style="0" customWidth="1"/>
    <col min="22" max="22" width="8.8515625" style="154" customWidth="1"/>
    <col min="23" max="23" width="8.8515625" style="0" customWidth="1"/>
    <col min="24" max="24" width="14.28125" style="110" hidden="1" customWidth="1"/>
    <col min="25" max="27" width="8.8515625" style="110" hidden="1" customWidth="1"/>
    <col min="28" max="28" width="11.421875" style="110" hidden="1" customWidth="1"/>
    <col min="29" max="29" width="8.8515625" style="0" customWidth="1"/>
    <col min="30" max="31" width="8.8515625" style="440" customWidth="1"/>
    <col min="32" max="32" width="8.7109375" style="440" bestFit="1" customWidth="1"/>
    <col min="33" max="33" width="8.8515625" style="440" customWidth="1"/>
    <col min="34" max="34" width="9.140625" style="440" bestFit="1" customWidth="1"/>
    <col min="35" max="16384" width="8.8515625" style="440" customWidth="1"/>
  </cols>
  <sheetData>
    <row r="1" spans="1:34" s="439" customFormat="1" ht="42.75" customHeight="1" thickBot="1">
      <c r="A1" s="476" t="s">
        <v>23</v>
      </c>
      <c r="B1" s="477" t="s">
        <v>1</v>
      </c>
      <c r="C1" s="478" t="s">
        <v>1</v>
      </c>
      <c r="D1" s="438" t="s">
        <v>2</v>
      </c>
      <c r="E1" s="438" t="s">
        <v>201</v>
      </c>
      <c r="F1" s="438" t="s">
        <v>202</v>
      </c>
      <c r="G1" s="438" t="s">
        <v>203</v>
      </c>
      <c r="H1" s="479" t="s">
        <v>14</v>
      </c>
      <c r="I1" s="480" t="s">
        <v>13</v>
      </c>
      <c r="J1" s="481" t="s">
        <v>16</v>
      </c>
      <c r="K1" s="482" t="s">
        <v>52</v>
      </c>
      <c r="L1" s="483" t="s">
        <v>51</v>
      </c>
      <c r="M1" s="484" t="s">
        <v>21</v>
      </c>
      <c r="N1" s="485" t="s">
        <v>22</v>
      </c>
      <c r="O1" s="486" t="s">
        <v>50</v>
      </c>
      <c r="P1" s="487" t="s">
        <v>4</v>
      </c>
      <c r="Q1" s="488" t="s">
        <v>5</v>
      </c>
      <c r="R1" s="489" t="s">
        <v>3</v>
      </c>
      <c r="S1" s="323" t="s">
        <v>64</v>
      </c>
      <c r="T1" s="202" t="s">
        <v>95</v>
      </c>
      <c r="U1" s="202" t="s">
        <v>60</v>
      </c>
      <c r="V1" s="205" t="s">
        <v>61</v>
      </c>
      <c r="W1" s="203" t="s">
        <v>63</v>
      </c>
      <c r="X1" s="343" t="s">
        <v>93</v>
      </c>
      <c r="Y1" s="343" t="s">
        <v>2</v>
      </c>
      <c r="Z1" s="343" t="s">
        <v>97</v>
      </c>
      <c r="AA1" s="343" t="s">
        <v>89</v>
      </c>
      <c r="AB1" s="343" t="s">
        <v>94</v>
      </c>
      <c r="AC1" s="342" t="s">
        <v>98</v>
      </c>
      <c r="AE1" s="664" t="s">
        <v>108</v>
      </c>
      <c r="AF1" s="665"/>
      <c r="AG1" s="665"/>
      <c r="AH1" s="665"/>
    </row>
    <row r="2" spans="1:34" ht="12.75">
      <c r="A2" s="169">
        <v>6</v>
      </c>
      <c r="B2" s="520" t="s">
        <v>216</v>
      </c>
      <c r="C2" s="520" t="str">
        <f>LOWER(B2)</f>
        <v>russell garner</v>
      </c>
      <c r="D2" s="521" t="s">
        <v>16</v>
      </c>
      <c r="E2" s="381" t="s">
        <v>218</v>
      </c>
      <c r="F2" s="522" t="s">
        <v>316</v>
      </c>
      <c r="G2" s="523">
        <f aca="true" t="shared" si="0" ref="G2:G33">E2+F2</f>
        <v>0.002031724537037037</v>
      </c>
      <c r="H2" s="263">
        <f aca="true" t="shared" si="1" ref="H2:R11">IF($D2=H$1,$S2,"")</f>
      </c>
      <c r="I2" s="263">
        <f t="shared" si="1"/>
      </c>
      <c r="J2" s="263">
        <f t="shared" si="1"/>
        <v>100</v>
      </c>
      <c r="K2" s="263">
        <f t="shared" si="1"/>
      </c>
      <c r="L2" s="263">
        <f t="shared" si="1"/>
      </c>
      <c r="M2" s="263">
        <f t="shared" si="1"/>
      </c>
      <c r="N2" s="263">
        <f t="shared" si="1"/>
      </c>
      <c r="O2" s="263">
        <f t="shared" si="1"/>
      </c>
      <c r="P2" s="263">
        <f t="shared" si="1"/>
      </c>
      <c r="Q2" s="263">
        <f t="shared" si="1"/>
      </c>
      <c r="R2" s="263">
        <f t="shared" si="1"/>
      </c>
      <c r="S2" s="211">
        <f aca="true" t="shared" si="2" ref="S2:S33">_xlfn.IFERROR(VLOOKUP($Z2,Points2018,2,0),0)</f>
        <v>100</v>
      </c>
      <c r="T2" s="379">
        <f aca="true" t="shared" si="3" ref="T2:T23">AB2-S2</f>
        <v>0</v>
      </c>
      <c r="U2" s="264">
        <f aca="true" t="shared" si="4" ref="U2:U33">_xlfn.IFERROR(VLOOKUP(D2,BenchmarksRd3,4,0)*86400,"")</f>
        <v>163.59199999999998</v>
      </c>
      <c r="V2" s="265">
        <f aca="true" t="shared" si="5" ref="V2:V7">(($G2*86400)-U2)</f>
        <v>11.94900000000004</v>
      </c>
      <c r="W2" s="171">
        <f aca="true" t="shared" si="6" ref="W2:W14">IF(V2&lt;=0,10,IF(V2&lt;1,5,IF(V2&lt;2,0,IF(V2&lt;3,-5,-10))))</f>
        <v>-10</v>
      </c>
      <c r="X2" s="432">
        <f aca="true" t="shared" si="7" ref="X2:X33">_xlfn.IFERROR(VLOOKUP(D2,Class2018,4,0),"n/a")</f>
        <v>5</v>
      </c>
      <c r="Y2" s="217">
        <f aca="true" t="shared" si="8" ref="Y2:Y33">_xlfn.IFERROR(VLOOKUP(D2,Class2018,3,0),"n/a")</f>
        <v>9</v>
      </c>
      <c r="Z2" s="217">
        <f>IF($Y2="n/a","",_xlfn.IFERROR(COUNTIF($Y$2:$Y2,"="&amp;Y2),""))</f>
        <v>1</v>
      </c>
      <c r="AA2" s="217">
        <f>COUNTIF($X1:X$2,"&lt;"&amp;X2)</f>
        <v>0</v>
      </c>
      <c r="AB2" s="247">
        <f aca="true" t="shared" si="9" ref="AB2:AB33">IF($Y2="n/a",0,_xlfn.IFERROR(VLOOKUP(Z2+AA2,Points2018,2,0),15))</f>
        <v>100</v>
      </c>
      <c r="AC2" s="211">
        <f aca="true" t="shared" si="10" ref="AC2:AC23">(S2+T2+W2)</f>
        <v>90</v>
      </c>
      <c r="AE2" s="441" t="s">
        <v>3</v>
      </c>
      <c r="AF2" s="442">
        <v>0.0012429050925925925</v>
      </c>
      <c r="AG2" s="442">
        <v>0.0008543518518518518</v>
      </c>
      <c r="AH2" s="443">
        <f aca="true" t="shared" si="11" ref="AH2:AH9">((AF2*86400)+(AG2*86400))/86400</f>
        <v>0.0020972569444444446</v>
      </c>
    </row>
    <row r="3" spans="1:34" ht="12.75">
      <c r="A3" s="112">
        <v>724</v>
      </c>
      <c r="B3" s="531" t="s">
        <v>204</v>
      </c>
      <c r="C3" s="531" t="str">
        <f>LOWER(B3)</f>
        <v>dean monik</v>
      </c>
      <c r="D3" s="500" t="s">
        <v>13</v>
      </c>
      <c r="E3" s="69" t="s">
        <v>221</v>
      </c>
      <c r="F3" s="532" t="s">
        <v>314</v>
      </c>
      <c r="G3" s="533">
        <f t="shared" si="0"/>
        <v>0.002032708333333333</v>
      </c>
      <c r="H3" s="71">
        <f t="shared" si="1"/>
      </c>
      <c r="I3" s="71">
        <f t="shared" si="1"/>
        <v>100</v>
      </c>
      <c r="J3" s="71">
        <f t="shared" si="1"/>
      </c>
      <c r="K3" s="71">
        <f t="shared" si="1"/>
      </c>
      <c r="L3" s="71">
        <f t="shared" si="1"/>
      </c>
      <c r="M3" s="71">
        <f t="shared" si="1"/>
      </c>
      <c r="N3" s="71">
        <f t="shared" si="1"/>
      </c>
      <c r="O3" s="71">
        <f t="shared" si="1"/>
      </c>
      <c r="P3" s="71">
        <f t="shared" si="1"/>
      </c>
      <c r="Q3" s="71">
        <f t="shared" si="1"/>
      </c>
      <c r="R3" s="71">
        <f t="shared" si="1"/>
      </c>
      <c r="S3" s="212">
        <f t="shared" si="2"/>
        <v>100</v>
      </c>
      <c r="T3" s="69">
        <f t="shared" si="3"/>
        <v>-25</v>
      </c>
      <c r="U3" s="262">
        <f t="shared" si="4"/>
        <v>162.19299999999998</v>
      </c>
      <c r="V3" s="207">
        <f t="shared" si="5"/>
        <v>13.432999999999993</v>
      </c>
      <c r="W3" s="113">
        <f t="shared" si="6"/>
        <v>-10</v>
      </c>
      <c r="X3" s="433">
        <f t="shared" si="7"/>
        <v>6</v>
      </c>
      <c r="Y3" s="196">
        <f t="shared" si="8"/>
        <v>10</v>
      </c>
      <c r="Z3" s="196">
        <f>IF($Y3="n/a","",_xlfn.IFERROR(COUNTIF($Y$2:$Y3,"="&amp;Y3),""))</f>
        <v>1</v>
      </c>
      <c r="AA3" s="196">
        <f>COUNTIF($X2:X$2,"&lt;"&amp;X3)</f>
        <v>1</v>
      </c>
      <c r="AB3" s="206">
        <f t="shared" si="9"/>
        <v>75</v>
      </c>
      <c r="AC3" s="212">
        <f t="shared" si="10"/>
        <v>65</v>
      </c>
      <c r="AE3" s="444" t="s">
        <v>5</v>
      </c>
      <c r="AF3" s="499">
        <v>0.00121875</v>
      </c>
      <c r="AG3" s="445">
        <v>0.0008528356481481481</v>
      </c>
      <c r="AH3" s="446">
        <f t="shared" si="11"/>
        <v>0.0020715856481481484</v>
      </c>
    </row>
    <row r="4" spans="1:34" ht="12.75">
      <c r="A4" s="382">
        <v>46</v>
      </c>
      <c r="B4" s="524" t="s">
        <v>232</v>
      </c>
      <c r="C4" s="524" t="str">
        <f aca="true" t="shared" si="12" ref="C4:C56">LOWER(B4)</f>
        <v>dean watchorn</v>
      </c>
      <c r="D4" s="125" t="s">
        <v>16</v>
      </c>
      <c r="E4" s="384" t="s">
        <v>233</v>
      </c>
      <c r="F4" s="153" t="s">
        <v>315</v>
      </c>
      <c r="G4" s="525">
        <f t="shared" si="0"/>
        <v>0.002067511574074074</v>
      </c>
      <c r="H4" s="386">
        <f t="shared" si="1"/>
      </c>
      <c r="I4" s="386">
        <f t="shared" si="1"/>
      </c>
      <c r="J4" s="386">
        <f t="shared" si="1"/>
        <v>75</v>
      </c>
      <c r="K4" s="386">
        <f t="shared" si="1"/>
      </c>
      <c r="L4" s="386">
        <f t="shared" si="1"/>
      </c>
      <c r="M4" s="386">
        <f t="shared" si="1"/>
      </c>
      <c r="N4" s="386">
        <f t="shared" si="1"/>
      </c>
      <c r="O4" s="386">
        <f t="shared" si="1"/>
      </c>
      <c r="P4" s="386">
        <f t="shared" si="1"/>
      </c>
      <c r="Q4" s="386">
        <f t="shared" si="1"/>
      </c>
      <c r="R4" s="386">
        <f t="shared" si="1"/>
      </c>
      <c r="S4" s="212">
        <f t="shared" si="2"/>
        <v>75</v>
      </c>
      <c r="T4" s="384">
        <f t="shared" si="3"/>
        <v>0</v>
      </c>
      <c r="U4" s="387">
        <f t="shared" si="4"/>
        <v>163.59199999999998</v>
      </c>
      <c r="V4" s="388">
        <f t="shared" si="5"/>
        <v>15.041000000000025</v>
      </c>
      <c r="W4" s="526">
        <f t="shared" si="6"/>
        <v>-10</v>
      </c>
      <c r="X4" s="433">
        <f t="shared" si="7"/>
        <v>5</v>
      </c>
      <c r="Y4" s="196">
        <f t="shared" si="8"/>
        <v>9</v>
      </c>
      <c r="Z4" s="196">
        <f>IF($Y4="n/a","",_xlfn.IFERROR(COUNTIF($Y$2:$Y4,"="&amp;Y4),""))</f>
        <v>2</v>
      </c>
      <c r="AA4" s="196">
        <f>COUNTIF($X$2:X3,"&lt;"&amp;X4)</f>
        <v>0</v>
      </c>
      <c r="AB4" s="206">
        <f t="shared" si="9"/>
        <v>75</v>
      </c>
      <c r="AC4" s="212">
        <f t="shared" si="10"/>
        <v>65</v>
      </c>
      <c r="AE4" s="447" t="s">
        <v>4</v>
      </c>
      <c r="AF4" s="448">
        <v>0.0011998611111111112</v>
      </c>
      <c r="AG4" s="448">
        <v>0.0008293402777777778</v>
      </c>
      <c r="AH4" s="449">
        <f t="shared" si="11"/>
        <v>0.002029201388888889</v>
      </c>
    </row>
    <row r="5" spans="1:34" ht="12.75">
      <c r="A5" s="112">
        <v>39</v>
      </c>
      <c r="B5" s="531" t="s">
        <v>219</v>
      </c>
      <c r="C5" s="531" t="str">
        <f t="shared" si="12"/>
        <v>paul ledwith</v>
      </c>
      <c r="D5" s="500" t="s">
        <v>13</v>
      </c>
      <c r="E5" s="69" t="s">
        <v>220</v>
      </c>
      <c r="F5" s="532" t="s">
        <v>323</v>
      </c>
      <c r="G5" s="533">
        <f t="shared" si="0"/>
        <v>0.0020808217592592593</v>
      </c>
      <c r="H5" s="71">
        <f t="shared" si="1"/>
      </c>
      <c r="I5" s="71">
        <f t="shared" si="1"/>
        <v>75</v>
      </c>
      <c r="J5" s="71">
        <f t="shared" si="1"/>
      </c>
      <c r="K5" s="71">
        <f t="shared" si="1"/>
      </c>
      <c r="L5" s="71">
        <f t="shared" si="1"/>
      </c>
      <c r="M5" s="71">
        <f t="shared" si="1"/>
      </c>
      <c r="N5" s="71">
        <f t="shared" si="1"/>
      </c>
      <c r="O5" s="71">
        <f t="shared" si="1"/>
      </c>
      <c r="P5" s="71">
        <f t="shared" si="1"/>
      </c>
      <c r="Q5" s="71">
        <f t="shared" si="1"/>
      </c>
      <c r="R5" s="71">
        <f t="shared" si="1"/>
      </c>
      <c r="S5" s="212">
        <f t="shared" si="2"/>
        <v>75</v>
      </c>
      <c r="T5" s="69">
        <f t="shared" si="3"/>
        <v>-30</v>
      </c>
      <c r="U5" s="262">
        <f t="shared" si="4"/>
        <v>162.19299999999998</v>
      </c>
      <c r="V5" s="207">
        <f t="shared" si="5"/>
        <v>17.590000000000003</v>
      </c>
      <c r="W5" s="113">
        <f t="shared" si="6"/>
        <v>-10</v>
      </c>
      <c r="X5" s="433">
        <f t="shared" si="7"/>
        <v>6</v>
      </c>
      <c r="Y5" s="196">
        <f t="shared" si="8"/>
        <v>10</v>
      </c>
      <c r="Z5" s="196">
        <f>IF($Y5="n/a","",_xlfn.IFERROR(COUNTIF($Y$2:$Y5,"="&amp;Y5),""))</f>
        <v>2</v>
      </c>
      <c r="AA5" s="196">
        <f>COUNTIF($X$2:X4,"&lt;"&amp;X5)</f>
        <v>2</v>
      </c>
      <c r="AB5" s="206">
        <f t="shared" si="9"/>
        <v>45</v>
      </c>
      <c r="AC5" s="212">
        <f t="shared" si="10"/>
        <v>35</v>
      </c>
      <c r="AE5" s="450" t="s">
        <v>50</v>
      </c>
      <c r="AF5" s="506">
        <v>0.001192476851851852</v>
      </c>
      <c r="AG5" s="451">
        <v>0.0008423611111111111</v>
      </c>
      <c r="AH5" s="452">
        <f t="shared" si="11"/>
        <v>0.002034837962962963</v>
      </c>
    </row>
    <row r="6" spans="1:34" ht="12.75">
      <c r="A6" s="112">
        <v>124</v>
      </c>
      <c r="B6" s="531" t="s">
        <v>211</v>
      </c>
      <c r="C6" s="531" t="str">
        <f t="shared" si="12"/>
        <v>ray monik</v>
      </c>
      <c r="D6" s="500" t="s">
        <v>13</v>
      </c>
      <c r="E6" s="69" t="s">
        <v>228</v>
      </c>
      <c r="F6" s="532" t="s">
        <v>319</v>
      </c>
      <c r="G6" s="533">
        <f t="shared" si="0"/>
        <v>0.00208875</v>
      </c>
      <c r="H6" s="71">
        <f t="shared" si="1"/>
      </c>
      <c r="I6" s="71">
        <f t="shared" si="1"/>
        <v>60</v>
      </c>
      <c r="J6" s="71">
        <f t="shared" si="1"/>
      </c>
      <c r="K6" s="71">
        <f t="shared" si="1"/>
      </c>
      <c r="L6" s="71">
        <f t="shared" si="1"/>
      </c>
      <c r="M6" s="71">
        <f t="shared" si="1"/>
      </c>
      <c r="N6" s="71">
        <f t="shared" si="1"/>
      </c>
      <c r="O6" s="71">
        <f t="shared" si="1"/>
      </c>
      <c r="P6" s="71">
        <f t="shared" si="1"/>
      </c>
      <c r="Q6" s="71">
        <f t="shared" si="1"/>
      </c>
      <c r="R6" s="71">
        <f t="shared" si="1"/>
      </c>
      <c r="S6" s="212">
        <f t="shared" si="2"/>
        <v>60</v>
      </c>
      <c r="T6" s="69">
        <f t="shared" si="3"/>
        <v>-30</v>
      </c>
      <c r="U6" s="262">
        <f t="shared" si="4"/>
        <v>162.19299999999998</v>
      </c>
      <c r="V6" s="207">
        <f t="shared" si="5"/>
        <v>18.275000000000006</v>
      </c>
      <c r="W6" s="113">
        <f t="shared" si="6"/>
        <v>-10</v>
      </c>
      <c r="X6" s="433">
        <f t="shared" si="7"/>
        <v>6</v>
      </c>
      <c r="Y6" s="196">
        <f t="shared" si="8"/>
        <v>10</v>
      </c>
      <c r="Z6" s="196">
        <f>IF($Y6="n/a","",_xlfn.IFERROR(COUNTIF($Y$2:$Y6,"="&amp;Y6),""))</f>
        <v>3</v>
      </c>
      <c r="AA6" s="196">
        <f>COUNTIF($X$2:X5,"&lt;"&amp;X6)</f>
        <v>2</v>
      </c>
      <c r="AB6" s="206">
        <f t="shared" si="9"/>
        <v>30</v>
      </c>
      <c r="AC6" s="212">
        <f t="shared" si="10"/>
        <v>20</v>
      </c>
      <c r="AE6" s="453" t="s">
        <v>22</v>
      </c>
      <c r="AF6" s="454">
        <v>0.0012158101851851852</v>
      </c>
      <c r="AG6" s="455">
        <v>0.0008229166666666667</v>
      </c>
      <c r="AH6" s="456">
        <f t="shared" si="11"/>
        <v>0.002038726851851852</v>
      </c>
    </row>
    <row r="7" spans="1:34" ht="12.75">
      <c r="A7" s="103">
        <v>88</v>
      </c>
      <c r="B7" s="534" t="s">
        <v>367</v>
      </c>
      <c r="C7" s="535" t="str">
        <f t="shared" si="12"/>
        <v>randy stagno navarra</v>
      </c>
      <c r="D7" s="39" t="s">
        <v>52</v>
      </c>
      <c r="E7" s="352" t="s">
        <v>229</v>
      </c>
      <c r="F7" s="41" t="s">
        <v>320</v>
      </c>
      <c r="G7" s="536">
        <f t="shared" si="0"/>
        <v>0.0020965046296296296</v>
      </c>
      <c r="H7" s="396">
        <f t="shared" si="1"/>
      </c>
      <c r="I7" s="396">
        <f t="shared" si="1"/>
      </c>
      <c r="J7" s="396">
        <f t="shared" si="1"/>
      </c>
      <c r="K7" s="396">
        <f t="shared" si="1"/>
        <v>100</v>
      </c>
      <c r="L7" s="396">
        <f t="shared" si="1"/>
      </c>
      <c r="M7" s="396">
        <f t="shared" si="1"/>
      </c>
      <c r="N7" s="396">
        <f t="shared" si="1"/>
      </c>
      <c r="O7" s="396">
        <f t="shared" si="1"/>
      </c>
      <c r="P7" s="396">
        <f t="shared" si="1"/>
      </c>
      <c r="Q7" s="396">
        <f t="shared" si="1"/>
      </c>
      <c r="R7" s="396">
        <f t="shared" si="1"/>
      </c>
      <c r="S7" s="212">
        <f t="shared" si="2"/>
        <v>100</v>
      </c>
      <c r="T7" s="344">
        <f t="shared" si="3"/>
        <v>0</v>
      </c>
      <c r="U7" s="397">
        <f t="shared" si="4"/>
        <v>171.45399999999998</v>
      </c>
      <c r="V7" s="398">
        <f t="shared" si="5"/>
        <v>9.684000000000026</v>
      </c>
      <c r="W7" s="345">
        <f t="shared" si="6"/>
        <v>-10</v>
      </c>
      <c r="X7" s="433">
        <f t="shared" si="7"/>
        <v>4</v>
      </c>
      <c r="Y7" s="196">
        <f t="shared" si="8"/>
        <v>8</v>
      </c>
      <c r="Z7" s="196">
        <f>IF($Y7="n/a","",_xlfn.IFERROR(COUNTIF($Y$2:$Y7,"="&amp;Y7),""))</f>
        <v>1</v>
      </c>
      <c r="AA7" s="196">
        <f>COUNTIF($X$2:X6,"&lt;"&amp;X7)</f>
        <v>0</v>
      </c>
      <c r="AB7" s="206">
        <f t="shared" si="9"/>
        <v>100</v>
      </c>
      <c r="AC7" s="212">
        <f t="shared" si="10"/>
        <v>90</v>
      </c>
      <c r="AE7" s="457" t="s">
        <v>21</v>
      </c>
      <c r="AF7" s="511">
        <v>0.0012108449074074072</v>
      </c>
      <c r="AG7" s="458">
        <v>0.0008359259259259258</v>
      </c>
      <c r="AH7" s="459">
        <f t="shared" si="11"/>
        <v>0.002046770833333333</v>
      </c>
    </row>
    <row r="8" spans="1:34" ht="12.75">
      <c r="A8" s="347">
        <v>83</v>
      </c>
      <c r="B8" s="490" t="s">
        <v>243</v>
      </c>
      <c r="C8" s="490" t="str">
        <f t="shared" si="12"/>
        <v>dennis chiswick</v>
      </c>
      <c r="D8" s="8" t="s">
        <v>215</v>
      </c>
      <c r="E8" s="8" t="s">
        <v>244</v>
      </c>
      <c r="F8" s="17" t="s">
        <v>317</v>
      </c>
      <c r="G8" s="491">
        <f t="shared" si="0"/>
        <v>0.0021009953703703703</v>
      </c>
      <c r="H8" s="248">
        <f t="shared" si="1"/>
      </c>
      <c r="I8" s="248">
        <f t="shared" si="1"/>
      </c>
      <c r="J8" s="248">
        <f t="shared" si="1"/>
      </c>
      <c r="K8" s="248">
        <f t="shared" si="1"/>
      </c>
      <c r="L8" s="248">
        <f t="shared" si="1"/>
      </c>
      <c r="M8" s="248">
        <f t="shared" si="1"/>
      </c>
      <c r="N8" s="248">
        <f t="shared" si="1"/>
      </c>
      <c r="O8" s="248">
        <f t="shared" si="1"/>
      </c>
      <c r="P8" s="248">
        <f t="shared" si="1"/>
      </c>
      <c r="Q8" s="248">
        <f t="shared" si="1"/>
      </c>
      <c r="R8" s="248">
        <f t="shared" si="1"/>
      </c>
      <c r="S8" s="212">
        <f t="shared" si="2"/>
        <v>0</v>
      </c>
      <c r="T8" s="12">
        <f t="shared" si="3"/>
        <v>0</v>
      </c>
      <c r="U8" s="155">
        <f t="shared" si="4"/>
      </c>
      <c r="V8" s="209"/>
      <c r="W8" s="104"/>
      <c r="X8" s="433" t="str">
        <f t="shared" si="7"/>
        <v>n/a</v>
      </c>
      <c r="Y8" s="196" t="str">
        <f t="shared" si="8"/>
        <v>n/a</v>
      </c>
      <c r="Z8" s="196">
        <f>IF($Y8="n/a","",_xlfn.IFERROR(COUNTIF($Y$2:$Y8,"="&amp;Y8),""))</f>
      </c>
      <c r="AA8" s="196">
        <f>COUNTIF($X$2:X7,"&lt;"&amp;X8)</f>
        <v>0</v>
      </c>
      <c r="AB8" s="206">
        <f t="shared" si="9"/>
        <v>0</v>
      </c>
      <c r="AC8" s="212">
        <f t="shared" si="10"/>
        <v>0</v>
      </c>
      <c r="AE8" s="460" t="s">
        <v>51</v>
      </c>
      <c r="AF8" s="507">
        <v>0.0011904398148148147</v>
      </c>
      <c r="AG8" s="507">
        <v>0.0008464120370370371</v>
      </c>
      <c r="AH8" s="461">
        <f t="shared" si="11"/>
        <v>0.0020368518518518518</v>
      </c>
    </row>
    <row r="9" spans="1:34" ht="12.75">
      <c r="A9" s="347">
        <v>112</v>
      </c>
      <c r="B9" s="490" t="s">
        <v>245</v>
      </c>
      <c r="C9" s="490" t="str">
        <f t="shared" si="12"/>
        <v>malcolm steel</v>
      </c>
      <c r="D9" s="8" t="s">
        <v>215</v>
      </c>
      <c r="E9" s="8" t="s">
        <v>246</v>
      </c>
      <c r="F9" s="17" t="s">
        <v>321</v>
      </c>
      <c r="G9" s="491">
        <f t="shared" si="0"/>
        <v>0.0021309953703703703</v>
      </c>
      <c r="H9" s="248">
        <f t="shared" si="1"/>
      </c>
      <c r="I9" s="248">
        <f t="shared" si="1"/>
      </c>
      <c r="J9" s="248">
        <f t="shared" si="1"/>
      </c>
      <c r="K9" s="248">
        <f t="shared" si="1"/>
      </c>
      <c r="L9" s="248">
        <f t="shared" si="1"/>
      </c>
      <c r="M9" s="248">
        <f t="shared" si="1"/>
      </c>
      <c r="N9" s="248">
        <f t="shared" si="1"/>
      </c>
      <c r="O9" s="248">
        <f t="shared" si="1"/>
      </c>
      <c r="P9" s="248">
        <f t="shared" si="1"/>
      </c>
      <c r="Q9" s="248">
        <f t="shared" si="1"/>
      </c>
      <c r="R9" s="248">
        <f t="shared" si="1"/>
      </c>
      <c r="S9" s="212">
        <f t="shared" si="2"/>
        <v>0</v>
      </c>
      <c r="T9" s="12">
        <f t="shared" si="3"/>
        <v>0</v>
      </c>
      <c r="U9" s="155">
        <f t="shared" si="4"/>
      </c>
      <c r="V9" s="209"/>
      <c r="W9" s="104"/>
      <c r="X9" s="433" t="str">
        <f t="shared" si="7"/>
        <v>n/a</v>
      </c>
      <c r="Y9" s="196" t="str">
        <f t="shared" si="8"/>
        <v>n/a</v>
      </c>
      <c r="Z9" s="196">
        <f>IF($Y9="n/a","",_xlfn.IFERROR(COUNTIF($Y$2:$Y9,"="&amp;Y9),""))</f>
      </c>
      <c r="AA9" s="196">
        <f>COUNTIF($X$2:X8,"&lt;"&amp;X9)</f>
        <v>0</v>
      </c>
      <c r="AB9" s="206">
        <f t="shared" si="9"/>
        <v>0</v>
      </c>
      <c r="AC9" s="212">
        <f t="shared" si="10"/>
        <v>0</v>
      </c>
      <c r="AE9" s="462" t="s">
        <v>52</v>
      </c>
      <c r="AF9" s="508">
        <v>0.0011662962962962964</v>
      </c>
      <c r="AG9" s="508">
        <v>0.000818125</v>
      </c>
      <c r="AH9" s="463">
        <f t="shared" si="11"/>
        <v>0.001984421296296296</v>
      </c>
    </row>
    <row r="10" spans="1:34" ht="12.75">
      <c r="A10" s="112">
        <v>27</v>
      </c>
      <c r="B10" s="531" t="s">
        <v>230</v>
      </c>
      <c r="C10" s="531" t="str">
        <f t="shared" si="12"/>
        <v>kim cole</v>
      </c>
      <c r="D10" s="500" t="s">
        <v>13</v>
      </c>
      <c r="E10" s="69" t="s">
        <v>231</v>
      </c>
      <c r="F10" s="532" t="s">
        <v>333</v>
      </c>
      <c r="G10" s="533">
        <f t="shared" si="0"/>
        <v>0.002133020833333333</v>
      </c>
      <c r="H10" s="71">
        <f t="shared" si="1"/>
      </c>
      <c r="I10" s="71">
        <f t="shared" si="1"/>
        <v>45</v>
      </c>
      <c r="J10" s="71">
        <f t="shared" si="1"/>
      </c>
      <c r="K10" s="71">
        <f t="shared" si="1"/>
      </c>
      <c r="L10" s="71">
        <f t="shared" si="1"/>
      </c>
      <c r="M10" s="71">
        <f t="shared" si="1"/>
      </c>
      <c r="N10" s="71">
        <f t="shared" si="1"/>
      </c>
      <c r="O10" s="71">
        <f t="shared" si="1"/>
      </c>
      <c r="P10" s="71">
        <f t="shared" si="1"/>
      </c>
      <c r="Q10" s="71">
        <f t="shared" si="1"/>
      </c>
      <c r="R10" s="71">
        <f t="shared" si="1"/>
      </c>
      <c r="S10" s="212">
        <f t="shared" si="2"/>
        <v>45</v>
      </c>
      <c r="T10" s="69">
        <f t="shared" si="3"/>
        <v>-30</v>
      </c>
      <c r="U10" s="262">
        <f t="shared" si="4"/>
        <v>162.19299999999998</v>
      </c>
      <c r="V10" s="207">
        <f>(($G10*86400)-U10)</f>
        <v>22.099999999999994</v>
      </c>
      <c r="W10" s="113">
        <f t="shared" si="6"/>
        <v>-10</v>
      </c>
      <c r="X10" s="433">
        <f t="shared" si="7"/>
        <v>6</v>
      </c>
      <c r="Y10" s="196">
        <f t="shared" si="8"/>
        <v>10</v>
      </c>
      <c r="Z10" s="196">
        <f>IF($Y10="n/a","",_xlfn.IFERROR(COUNTIF($Y$2:$Y10,"="&amp;Y10),""))</f>
        <v>4</v>
      </c>
      <c r="AA10" s="196">
        <f>COUNTIF($X$2:X9,"&lt;"&amp;X10)</f>
        <v>3</v>
      </c>
      <c r="AB10" s="206">
        <f t="shared" si="9"/>
        <v>15</v>
      </c>
      <c r="AC10" s="212">
        <f t="shared" si="10"/>
        <v>5</v>
      </c>
      <c r="AE10" s="464" t="s">
        <v>16</v>
      </c>
      <c r="AF10" s="509">
        <v>0.001119988425925926</v>
      </c>
      <c r="AG10" s="465">
        <v>0.0007734374999999999</v>
      </c>
      <c r="AH10" s="466">
        <f>((AF10*86400)+(AG10*86400))/86400</f>
        <v>0.0018934259259259258</v>
      </c>
    </row>
    <row r="11" spans="1:34" ht="12.75">
      <c r="A11" s="347">
        <v>30</v>
      </c>
      <c r="B11" s="490" t="s">
        <v>241</v>
      </c>
      <c r="C11" s="490" t="str">
        <f t="shared" si="12"/>
        <v>gustavo elias</v>
      </c>
      <c r="D11" s="8" t="s">
        <v>215</v>
      </c>
      <c r="E11" s="8" t="s">
        <v>242</v>
      </c>
      <c r="F11" s="17" t="s">
        <v>322</v>
      </c>
      <c r="G11" s="491">
        <f t="shared" si="0"/>
        <v>0.0021349189814814816</v>
      </c>
      <c r="H11" s="248">
        <f t="shared" si="1"/>
      </c>
      <c r="I11" s="248">
        <f t="shared" si="1"/>
      </c>
      <c r="J11" s="248">
        <f t="shared" si="1"/>
      </c>
      <c r="K11" s="248">
        <f t="shared" si="1"/>
      </c>
      <c r="L11" s="248">
        <f t="shared" si="1"/>
      </c>
      <c r="M11" s="248">
        <f t="shared" si="1"/>
      </c>
      <c r="N11" s="248">
        <f t="shared" si="1"/>
      </c>
      <c r="O11" s="248">
        <f t="shared" si="1"/>
      </c>
      <c r="P11" s="248">
        <f t="shared" si="1"/>
      </c>
      <c r="Q11" s="248">
        <f t="shared" si="1"/>
      </c>
      <c r="R11" s="248">
        <f t="shared" si="1"/>
      </c>
      <c r="S11" s="212">
        <f t="shared" si="2"/>
        <v>0</v>
      </c>
      <c r="T11" s="12">
        <f t="shared" si="3"/>
        <v>0</v>
      </c>
      <c r="U11" s="155">
        <f t="shared" si="4"/>
      </c>
      <c r="V11" s="209"/>
      <c r="W11" s="104"/>
      <c r="X11" s="433" t="str">
        <f t="shared" si="7"/>
        <v>n/a</v>
      </c>
      <c r="Y11" s="196" t="str">
        <f t="shared" si="8"/>
        <v>n/a</v>
      </c>
      <c r="Z11" s="196">
        <f>IF($Y11="n/a","",_xlfn.IFERROR(COUNTIF($Y$2:$Y11,"="&amp;Y11),""))</f>
      </c>
      <c r="AA11" s="196">
        <f>COUNTIF($X$2:X10,"&lt;"&amp;X11)</f>
        <v>0</v>
      </c>
      <c r="AB11" s="206">
        <f t="shared" si="9"/>
        <v>0</v>
      </c>
      <c r="AC11" s="212">
        <f t="shared" si="10"/>
        <v>0</v>
      </c>
      <c r="AE11" s="467" t="s">
        <v>13</v>
      </c>
      <c r="AF11" s="468">
        <v>0.001110150462962963</v>
      </c>
      <c r="AG11" s="468">
        <v>0.0007670833333333333</v>
      </c>
      <c r="AH11" s="469">
        <f>((AF11*86400)+(AG11*86400))/86400</f>
        <v>0.0018772337962962961</v>
      </c>
    </row>
    <row r="12" spans="1:34" ht="13.5" thickBot="1">
      <c r="A12" s="276">
        <v>21</v>
      </c>
      <c r="B12" s="537" t="s">
        <v>213</v>
      </c>
      <c r="C12" s="537" t="str">
        <f t="shared" si="12"/>
        <v>gavin newman</v>
      </c>
      <c r="D12" s="334" t="s">
        <v>51</v>
      </c>
      <c r="E12" s="515" t="s">
        <v>249</v>
      </c>
      <c r="F12" s="290" t="s">
        <v>318</v>
      </c>
      <c r="G12" s="538">
        <f t="shared" si="0"/>
        <v>0.002135</v>
      </c>
      <c r="H12" s="274">
        <f aca="true" t="shared" si="13" ref="H12:R21">IF($D12=H$1,$S12,"")</f>
      </c>
      <c r="I12" s="274">
        <f t="shared" si="13"/>
      </c>
      <c r="J12" s="274">
        <f t="shared" si="13"/>
      </c>
      <c r="K12" s="274">
        <f t="shared" si="13"/>
      </c>
      <c r="L12" s="274">
        <f t="shared" si="13"/>
        <v>100</v>
      </c>
      <c r="M12" s="274">
        <f t="shared" si="13"/>
      </c>
      <c r="N12" s="274">
        <f t="shared" si="13"/>
      </c>
      <c r="O12" s="274">
        <f t="shared" si="13"/>
      </c>
      <c r="P12" s="274">
        <f t="shared" si="13"/>
      </c>
      <c r="Q12" s="274">
        <f t="shared" si="13"/>
      </c>
      <c r="R12" s="274">
        <f t="shared" si="13"/>
      </c>
      <c r="S12" s="212">
        <f t="shared" si="2"/>
        <v>100</v>
      </c>
      <c r="T12" s="515">
        <f t="shared" si="3"/>
        <v>0</v>
      </c>
      <c r="U12" s="277">
        <f t="shared" si="4"/>
        <v>175.98399999999998</v>
      </c>
      <c r="V12" s="278">
        <f>(($G12*86400)-U12)</f>
        <v>8.480000000000047</v>
      </c>
      <c r="W12" s="156">
        <f t="shared" si="6"/>
        <v>-10</v>
      </c>
      <c r="X12" s="433">
        <f t="shared" si="7"/>
        <v>4</v>
      </c>
      <c r="Y12" s="196">
        <f t="shared" si="8"/>
        <v>7</v>
      </c>
      <c r="Z12" s="196">
        <f>IF($Y12="n/a","",_xlfn.IFERROR(COUNTIF($Y$2:$Y12,"="&amp;Y12),""))</f>
        <v>1</v>
      </c>
      <c r="AA12" s="196">
        <f>COUNTIF($X$2:X11,"&lt;"&amp;X12)</f>
        <v>0</v>
      </c>
      <c r="AB12" s="206">
        <f t="shared" si="9"/>
        <v>100</v>
      </c>
      <c r="AC12" s="212">
        <f t="shared" si="10"/>
        <v>90</v>
      </c>
      <c r="AE12" s="470" t="s">
        <v>14</v>
      </c>
      <c r="AF12" s="510">
        <v>0.0011170138888888887</v>
      </c>
      <c r="AG12" s="471">
        <v>0.0007424652777777778</v>
      </c>
      <c r="AH12" s="472">
        <f>((AF12*86400)+(AG12*86400))/86400</f>
        <v>0.0018594791666666666</v>
      </c>
    </row>
    <row r="13" spans="1:29" ht="12.75">
      <c r="A13" s="382">
        <v>92</v>
      </c>
      <c r="B13" s="524" t="s">
        <v>237</v>
      </c>
      <c r="C13" s="524" t="str">
        <f t="shared" si="12"/>
        <v>robert parr</v>
      </c>
      <c r="D13" s="125" t="s">
        <v>16</v>
      </c>
      <c r="E13" s="384" t="s">
        <v>238</v>
      </c>
      <c r="F13" s="153" t="s">
        <v>331</v>
      </c>
      <c r="G13" s="525">
        <f t="shared" si="0"/>
        <v>0.002144837962962963</v>
      </c>
      <c r="H13" s="386">
        <f t="shared" si="13"/>
      </c>
      <c r="I13" s="386">
        <f t="shared" si="13"/>
      </c>
      <c r="J13" s="386">
        <f t="shared" si="13"/>
        <v>60</v>
      </c>
      <c r="K13" s="386">
        <f t="shared" si="13"/>
      </c>
      <c r="L13" s="386">
        <f t="shared" si="13"/>
      </c>
      <c r="M13" s="386">
        <f t="shared" si="13"/>
      </c>
      <c r="N13" s="386">
        <f t="shared" si="13"/>
      </c>
      <c r="O13" s="386">
        <f t="shared" si="13"/>
      </c>
      <c r="P13" s="386">
        <f t="shared" si="13"/>
      </c>
      <c r="Q13" s="386">
        <f t="shared" si="13"/>
      </c>
      <c r="R13" s="386">
        <f t="shared" si="13"/>
      </c>
      <c r="S13" s="212">
        <f t="shared" si="2"/>
        <v>60</v>
      </c>
      <c r="T13" s="384">
        <f t="shared" si="3"/>
        <v>-30</v>
      </c>
      <c r="U13" s="387">
        <f t="shared" si="4"/>
        <v>163.59199999999998</v>
      </c>
      <c r="V13" s="388">
        <f>(($G13*86400)-U13)</f>
        <v>21.72200000000001</v>
      </c>
      <c r="W13" s="526">
        <f t="shared" si="6"/>
        <v>-10</v>
      </c>
      <c r="X13" s="433">
        <f t="shared" si="7"/>
        <v>5</v>
      </c>
      <c r="Y13" s="196">
        <f t="shared" si="8"/>
        <v>9</v>
      </c>
      <c r="Z13" s="196">
        <f>IF($Y13="n/a","",_xlfn.IFERROR(COUNTIF($Y$2:$Y13,"="&amp;Y13),""))</f>
        <v>3</v>
      </c>
      <c r="AA13" s="196">
        <f>COUNTIF($X$2:X12,"&lt;"&amp;X13)</f>
        <v>2</v>
      </c>
      <c r="AB13" s="206">
        <f t="shared" si="9"/>
        <v>30</v>
      </c>
      <c r="AC13" s="212">
        <f t="shared" si="10"/>
        <v>20</v>
      </c>
    </row>
    <row r="14" spans="1:29" ht="12">
      <c r="A14" s="103">
        <v>50</v>
      </c>
      <c r="B14" s="535" t="s">
        <v>205</v>
      </c>
      <c r="C14" s="535" t="str">
        <f t="shared" si="12"/>
        <v>alan conrad</v>
      </c>
      <c r="D14" s="39" t="s">
        <v>52</v>
      </c>
      <c r="E14" s="344" t="s">
        <v>234</v>
      </c>
      <c r="F14" s="41" t="s">
        <v>336</v>
      </c>
      <c r="G14" s="536">
        <f t="shared" si="0"/>
        <v>0.0021490856481481482</v>
      </c>
      <c r="H14" s="396">
        <f t="shared" si="13"/>
      </c>
      <c r="I14" s="396">
        <f t="shared" si="13"/>
      </c>
      <c r="J14" s="396">
        <f t="shared" si="13"/>
      </c>
      <c r="K14" s="396">
        <f t="shared" si="13"/>
        <v>75</v>
      </c>
      <c r="L14" s="396">
        <f t="shared" si="13"/>
      </c>
      <c r="M14" s="396">
        <f t="shared" si="13"/>
      </c>
      <c r="N14" s="396">
        <f t="shared" si="13"/>
      </c>
      <c r="O14" s="396">
        <f t="shared" si="13"/>
      </c>
      <c r="P14" s="396">
        <f t="shared" si="13"/>
      </c>
      <c r="Q14" s="396">
        <f t="shared" si="13"/>
      </c>
      <c r="R14" s="396">
        <f t="shared" si="13"/>
      </c>
      <c r="S14" s="212">
        <f t="shared" si="2"/>
        <v>75</v>
      </c>
      <c r="T14" s="344">
        <f t="shared" si="3"/>
        <v>0</v>
      </c>
      <c r="U14" s="397">
        <f t="shared" si="4"/>
        <v>171.45399999999998</v>
      </c>
      <c r="V14" s="398">
        <f>(($G14*86400)-U14)</f>
        <v>14.227000000000032</v>
      </c>
      <c r="W14" s="345">
        <f t="shared" si="6"/>
        <v>-10</v>
      </c>
      <c r="X14" s="433">
        <f t="shared" si="7"/>
        <v>4</v>
      </c>
      <c r="Y14" s="196">
        <f t="shared" si="8"/>
        <v>8</v>
      </c>
      <c r="Z14" s="196">
        <f>IF($Y14="n/a","",_xlfn.IFERROR(COUNTIF($Y$2:$Y14,"="&amp;Y14),""))</f>
        <v>2</v>
      </c>
      <c r="AA14" s="196">
        <f>COUNTIF($X$2:X13,"&lt;"&amp;X14)</f>
        <v>0</v>
      </c>
      <c r="AB14" s="206">
        <f t="shared" si="9"/>
        <v>75</v>
      </c>
      <c r="AC14" s="212">
        <f t="shared" si="10"/>
        <v>65</v>
      </c>
    </row>
    <row r="15" spans="1:29" ht="12">
      <c r="A15" s="347">
        <v>79</v>
      </c>
      <c r="B15" s="548" t="s">
        <v>239</v>
      </c>
      <c r="C15" s="548" t="str">
        <f t="shared" si="12"/>
        <v>dean hasnat</v>
      </c>
      <c r="D15" s="4" t="s">
        <v>26</v>
      </c>
      <c r="E15" s="4" t="s">
        <v>240</v>
      </c>
      <c r="F15" s="7" t="s">
        <v>330</v>
      </c>
      <c r="G15" s="549">
        <f t="shared" si="0"/>
        <v>0.0021495601851851853</v>
      </c>
      <c r="H15" s="248">
        <f t="shared" si="13"/>
      </c>
      <c r="I15" s="248">
        <f t="shared" si="13"/>
      </c>
      <c r="J15" s="248">
        <f t="shared" si="13"/>
      </c>
      <c r="K15" s="248">
        <f t="shared" si="13"/>
      </c>
      <c r="L15" s="248">
        <f t="shared" si="13"/>
      </c>
      <c r="M15" s="248">
        <f t="shared" si="13"/>
      </c>
      <c r="N15" s="248">
        <f t="shared" si="13"/>
      </c>
      <c r="O15" s="248">
        <f t="shared" si="13"/>
      </c>
      <c r="P15" s="248">
        <f t="shared" si="13"/>
      </c>
      <c r="Q15" s="248">
        <f t="shared" si="13"/>
      </c>
      <c r="R15" s="248">
        <f t="shared" si="13"/>
      </c>
      <c r="S15" s="212">
        <f t="shared" si="2"/>
        <v>0</v>
      </c>
      <c r="T15" s="12">
        <f t="shared" si="3"/>
        <v>0</v>
      </c>
      <c r="U15" s="155">
        <f t="shared" si="4"/>
      </c>
      <c r="V15" s="209"/>
      <c r="W15" s="104"/>
      <c r="X15" s="433" t="str">
        <f t="shared" si="7"/>
        <v>n/a</v>
      </c>
      <c r="Y15" s="196" t="str">
        <f t="shared" si="8"/>
        <v>n/a</v>
      </c>
      <c r="Z15" s="196">
        <f>IF($Y15="n/a","",_xlfn.IFERROR(COUNTIF($Y$2:$Y15,"="&amp;Y15),""))</f>
      </c>
      <c r="AA15" s="196">
        <f>COUNTIF($X$2:X14,"&lt;"&amp;X15)</f>
        <v>0</v>
      </c>
      <c r="AB15" s="206">
        <f t="shared" si="9"/>
        <v>0</v>
      </c>
      <c r="AC15" s="212">
        <f t="shared" si="10"/>
        <v>0</v>
      </c>
    </row>
    <row r="16" spans="1:29" ht="12">
      <c r="A16" s="112">
        <v>555</v>
      </c>
      <c r="B16" s="531" t="s">
        <v>235</v>
      </c>
      <c r="C16" s="531" t="str">
        <f t="shared" si="12"/>
        <v>tim meaden</v>
      </c>
      <c r="D16" s="500" t="s">
        <v>13</v>
      </c>
      <c r="E16" s="69" t="s">
        <v>236</v>
      </c>
      <c r="F16" s="532" t="s">
        <v>338</v>
      </c>
      <c r="G16" s="533">
        <f t="shared" si="0"/>
        <v>0.0021525694444444444</v>
      </c>
      <c r="H16" s="71">
        <f t="shared" si="13"/>
      </c>
      <c r="I16" s="71">
        <f t="shared" si="13"/>
        <v>30</v>
      </c>
      <c r="J16" s="71">
        <f t="shared" si="13"/>
      </c>
      <c r="K16" s="71">
        <f t="shared" si="13"/>
      </c>
      <c r="L16" s="71">
        <f t="shared" si="13"/>
      </c>
      <c r="M16" s="71">
        <f t="shared" si="13"/>
      </c>
      <c r="N16" s="71">
        <f t="shared" si="13"/>
      </c>
      <c r="O16" s="71">
        <f t="shared" si="13"/>
      </c>
      <c r="P16" s="71">
        <f t="shared" si="13"/>
      </c>
      <c r="Q16" s="71">
        <f t="shared" si="13"/>
      </c>
      <c r="R16" s="71">
        <f t="shared" si="13"/>
      </c>
      <c r="S16" s="212">
        <f t="shared" si="2"/>
        <v>30</v>
      </c>
      <c r="T16" s="69">
        <f t="shared" si="3"/>
        <v>-15</v>
      </c>
      <c r="U16" s="262">
        <f t="shared" si="4"/>
        <v>162.19299999999998</v>
      </c>
      <c r="V16" s="207">
        <f>(($G16*86400)-U16)</f>
        <v>23.789000000000016</v>
      </c>
      <c r="W16" s="113">
        <f>IF(V16&lt;=0,10,IF(V16&lt;1,5,IF(V16&lt;2,0,IF(V16&lt;3,-5,-10))))</f>
        <v>-10</v>
      </c>
      <c r="X16" s="433">
        <f t="shared" si="7"/>
        <v>6</v>
      </c>
      <c r="Y16" s="196">
        <f t="shared" si="8"/>
        <v>10</v>
      </c>
      <c r="Z16" s="196">
        <f>IF($Y16="n/a","",_xlfn.IFERROR(COUNTIF($Y$2:$Y16,"="&amp;Y16),""))</f>
        <v>5</v>
      </c>
      <c r="AA16" s="196">
        <f>COUNTIF($X$2:X15,"&lt;"&amp;X16)</f>
        <v>6</v>
      </c>
      <c r="AB16" s="206">
        <f t="shared" si="9"/>
        <v>15</v>
      </c>
      <c r="AC16" s="212">
        <f t="shared" si="10"/>
        <v>5</v>
      </c>
    </row>
    <row r="17" spans="1:29" ht="12">
      <c r="A17" s="347">
        <v>15</v>
      </c>
      <c r="B17" s="490" t="s">
        <v>252</v>
      </c>
      <c r="C17" s="490" t="str">
        <f t="shared" si="12"/>
        <v>andrew digney</v>
      </c>
      <c r="D17" s="8" t="s">
        <v>215</v>
      </c>
      <c r="E17" s="8" t="s">
        <v>253</v>
      </c>
      <c r="F17" s="17" t="s">
        <v>327</v>
      </c>
      <c r="G17" s="491">
        <f t="shared" si="0"/>
        <v>0.0021733912037037034</v>
      </c>
      <c r="H17" s="248">
        <f t="shared" si="13"/>
      </c>
      <c r="I17" s="248">
        <f t="shared" si="13"/>
      </c>
      <c r="J17" s="248">
        <f t="shared" si="13"/>
      </c>
      <c r="K17" s="248">
        <f t="shared" si="13"/>
      </c>
      <c r="L17" s="248">
        <f t="shared" si="13"/>
      </c>
      <c r="M17" s="248">
        <f t="shared" si="13"/>
      </c>
      <c r="N17" s="248">
        <f t="shared" si="13"/>
      </c>
      <c r="O17" s="248">
        <f t="shared" si="13"/>
      </c>
      <c r="P17" s="248">
        <f t="shared" si="13"/>
      </c>
      <c r="Q17" s="248">
        <f t="shared" si="13"/>
      </c>
      <c r="R17" s="248">
        <f t="shared" si="13"/>
      </c>
      <c r="S17" s="212">
        <f t="shared" si="2"/>
        <v>0</v>
      </c>
      <c r="T17" s="12">
        <f t="shared" si="3"/>
        <v>0</v>
      </c>
      <c r="U17" s="155">
        <f t="shared" si="4"/>
      </c>
      <c r="V17" s="209"/>
      <c r="W17" s="104"/>
      <c r="X17" s="433" t="str">
        <f t="shared" si="7"/>
        <v>n/a</v>
      </c>
      <c r="Y17" s="196" t="str">
        <f t="shared" si="8"/>
        <v>n/a</v>
      </c>
      <c r="Z17" s="196">
        <f>IF($Y17="n/a","",_xlfn.IFERROR(COUNTIF($Y$2:$Y17,"="&amp;Y17),""))</f>
      </c>
      <c r="AA17" s="196">
        <f>COUNTIF($X$2:X16,"&lt;"&amp;X17)</f>
        <v>0</v>
      </c>
      <c r="AB17" s="206">
        <f t="shared" si="9"/>
        <v>0</v>
      </c>
      <c r="AC17" s="212">
        <f t="shared" si="10"/>
        <v>0</v>
      </c>
    </row>
    <row r="18" spans="1:29" ht="12">
      <c r="A18" s="347">
        <v>13</v>
      </c>
      <c r="B18" s="490" t="s">
        <v>247</v>
      </c>
      <c r="C18" s="490" t="str">
        <f t="shared" si="12"/>
        <v>luke kovacic</v>
      </c>
      <c r="D18" s="8" t="s">
        <v>215</v>
      </c>
      <c r="E18" s="8" t="s">
        <v>248</v>
      </c>
      <c r="F18" s="17" t="s">
        <v>334</v>
      </c>
      <c r="G18" s="491">
        <f t="shared" si="0"/>
        <v>0.002178784722222222</v>
      </c>
      <c r="H18" s="248">
        <f t="shared" si="13"/>
      </c>
      <c r="I18" s="248">
        <f t="shared" si="13"/>
      </c>
      <c r="J18" s="248">
        <f t="shared" si="13"/>
      </c>
      <c r="K18" s="248">
        <f t="shared" si="13"/>
      </c>
      <c r="L18" s="248">
        <f t="shared" si="13"/>
      </c>
      <c r="M18" s="248">
        <f t="shared" si="13"/>
      </c>
      <c r="N18" s="248">
        <f t="shared" si="13"/>
      </c>
      <c r="O18" s="248">
        <f t="shared" si="13"/>
      </c>
      <c r="P18" s="248">
        <f t="shared" si="13"/>
      </c>
      <c r="Q18" s="248">
        <f t="shared" si="13"/>
      </c>
      <c r="R18" s="248">
        <f t="shared" si="13"/>
      </c>
      <c r="S18" s="212">
        <f t="shared" si="2"/>
        <v>0</v>
      </c>
      <c r="T18" s="12">
        <f t="shared" si="3"/>
        <v>0</v>
      </c>
      <c r="U18" s="155">
        <f t="shared" si="4"/>
      </c>
      <c r="V18" s="209"/>
      <c r="W18" s="104"/>
      <c r="X18" s="433" t="str">
        <f t="shared" si="7"/>
        <v>n/a</v>
      </c>
      <c r="Y18" s="196" t="str">
        <f t="shared" si="8"/>
        <v>n/a</v>
      </c>
      <c r="Z18" s="196">
        <f>IF($Y18="n/a","",_xlfn.IFERROR(COUNTIF($Y$2:$Y18,"="&amp;Y18),""))</f>
      </c>
      <c r="AA18" s="196">
        <f>COUNTIF($X$2:X17,"&lt;"&amp;X18)</f>
        <v>0</v>
      </c>
      <c r="AB18" s="206">
        <f t="shared" si="9"/>
        <v>0</v>
      </c>
      <c r="AC18" s="212">
        <f t="shared" si="10"/>
        <v>0</v>
      </c>
    </row>
    <row r="19" spans="1:29" ht="12">
      <c r="A19" s="281">
        <v>26</v>
      </c>
      <c r="B19" s="539" t="s">
        <v>206</v>
      </c>
      <c r="C19" s="539" t="str">
        <f t="shared" si="12"/>
        <v>robert downes</v>
      </c>
      <c r="D19" s="503" t="s">
        <v>4</v>
      </c>
      <c r="E19" s="418" t="s">
        <v>263</v>
      </c>
      <c r="F19" s="540" t="s">
        <v>329</v>
      </c>
      <c r="G19" s="541">
        <f t="shared" si="0"/>
        <v>0.0022050578703703702</v>
      </c>
      <c r="H19" s="279">
        <f t="shared" si="13"/>
      </c>
      <c r="I19" s="279">
        <f t="shared" si="13"/>
      </c>
      <c r="J19" s="279">
        <f t="shared" si="13"/>
      </c>
      <c r="K19" s="279">
        <f t="shared" si="13"/>
      </c>
      <c r="L19" s="279">
        <f t="shared" si="13"/>
      </c>
      <c r="M19" s="279">
        <f t="shared" si="13"/>
      </c>
      <c r="N19" s="279">
        <f t="shared" si="13"/>
      </c>
      <c r="O19" s="279">
        <f t="shared" si="13"/>
      </c>
      <c r="P19" s="279">
        <f t="shared" si="13"/>
        <v>100</v>
      </c>
      <c r="Q19" s="279">
        <f t="shared" si="13"/>
      </c>
      <c r="R19" s="279">
        <f t="shared" si="13"/>
      </c>
      <c r="S19" s="212">
        <f t="shared" si="2"/>
        <v>100</v>
      </c>
      <c r="T19" s="418">
        <f t="shared" si="3"/>
        <v>0</v>
      </c>
      <c r="U19" s="282">
        <f t="shared" si="4"/>
        <v>175.323</v>
      </c>
      <c r="V19" s="283">
        <f>(($G19*86400)-U19)</f>
        <v>15.193999999999988</v>
      </c>
      <c r="W19" s="284">
        <f>IF(V19&lt;=0,10,IF(V19&lt;1,5,IF(V19&lt;2,0,IF(V19&lt;3,-5,-10))))</f>
        <v>-10</v>
      </c>
      <c r="X19" s="433">
        <f t="shared" si="7"/>
        <v>3</v>
      </c>
      <c r="Y19" s="196">
        <f t="shared" si="8"/>
        <v>5</v>
      </c>
      <c r="Z19" s="196">
        <f>IF($Y19="n/a","",_xlfn.IFERROR(COUNTIF($Y$2:$Y19,"="&amp;Y19),""))</f>
        <v>1</v>
      </c>
      <c r="AA19" s="196">
        <f>COUNTIF($X$2:X18,"&lt;"&amp;X19)</f>
        <v>0</v>
      </c>
      <c r="AB19" s="206">
        <f t="shared" si="9"/>
        <v>100</v>
      </c>
      <c r="AC19" s="212">
        <f t="shared" si="10"/>
        <v>90</v>
      </c>
    </row>
    <row r="20" spans="1:29" ht="12">
      <c r="A20" s="347">
        <v>60</v>
      </c>
      <c r="B20" s="490" t="s">
        <v>275</v>
      </c>
      <c r="C20" s="490" t="str">
        <f t="shared" si="12"/>
        <v>malcolm fotheringham</v>
      </c>
      <c r="D20" s="8" t="s">
        <v>215</v>
      </c>
      <c r="E20" s="8" t="s">
        <v>276</v>
      </c>
      <c r="F20" s="17" t="s">
        <v>324</v>
      </c>
      <c r="G20" s="491">
        <f t="shared" si="0"/>
        <v>0.002218773148148148</v>
      </c>
      <c r="H20" s="248">
        <f t="shared" si="13"/>
      </c>
      <c r="I20" s="248">
        <f t="shared" si="13"/>
      </c>
      <c r="J20" s="248">
        <f t="shared" si="13"/>
      </c>
      <c r="K20" s="248">
        <f t="shared" si="13"/>
      </c>
      <c r="L20" s="248">
        <f t="shared" si="13"/>
      </c>
      <c r="M20" s="248">
        <f t="shared" si="13"/>
      </c>
      <c r="N20" s="248">
        <f t="shared" si="13"/>
      </c>
      <c r="O20" s="248">
        <f t="shared" si="13"/>
      </c>
      <c r="P20" s="248">
        <f t="shared" si="13"/>
      </c>
      <c r="Q20" s="248">
        <f t="shared" si="13"/>
      </c>
      <c r="R20" s="248">
        <f t="shared" si="13"/>
      </c>
      <c r="S20" s="212">
        <f t="shared" si="2"/>
        <v>0</v>
      </c>
      <c r="T20" s="12">
        <f t="shared" si="3"/>
        <v>0</v>
      </c>
      <c r="U20" s="155">
        <f t="shared" si="4"/>
      </c>
      <c r="V20" s="209"/>
      <c r="W20" s="104"/>
      <c r="X20" s="433" t="str">
        <f t="shared" si="7"/>
        <v>n/a</v>
      </c>
      <c r="Y20" s="196" t="str">
        <f t="shared" si="8"/>
        <v>n/a</v>
      </c>
      <c r="Z20" s="196">
        <f>IF($Y20="n/a","",_xlfn.IFERROR(COUNTIF($Y$2:$Y20,"="&amp;Y20),""))</f>
      </c>
      <c r="AA20" s="196">
        <f>COUNTIF($X$2:X19,"&lt;"&amp;X20)</f>
        <v>0</v>
      </c>
      <c r="AB20" s="206">
        <f t="shared" si="9"/>
        <v>0</v>
      </c>
      <c r="AC20" s="212">
        <f t="shared" si="10"/>
        <v>0</v>
      </c>
    </row>
    <row r="21" spans="1:29" ht="12">
      <c r="A21" s="281">
        <v>32</v>
      </c>
      <c r="B21" s="539" t="s">
        <v>256</v>
      </c>
      <c r="C21" s="539" t="str">
        <f t="shared" si="12"/>
        <v>hung do</v>
      </c>
      <c r="D21" s="503" t="s">
        <v>4</v>
      </c>
      <c r="E21" s="418" t="s">
        <v>257</v>
      </c>
      <c r="F21" s="540" t="s">
        <v>344</v>
      </c>
      <c r="G21" s="541">
        <f t="shared" si="0"/>
        <v>0.002222164351851852</v>
      </c>
      <c r="H21" s="279">
        <f t="shared" si="13"/>
      </c>
      <c r="I21" s="279">
        <f t="shared" si="13"/>
      </c>
      <c r="J21" s="279">
        <f t="shared" si="13"/>
      </c>
      <c r="K21" s="279">
        <f t="shared" si="13"/>
      </c>
      <c r="L21" s="279">
        <f t="shared" si="13"/>
      </c>
      <c r="M21" s="279">
        <f t="shared" si="13"/>
      </c>
      <c r="N21" s="279">
        <f t="shared" si="13"/>
      </c>
      <c r="O21" s="279">
        <f t="shared" si="13"/>
      </c>
      <c r="P21" s="279">
        <f t="shared" si="13"/>
        <v>75</v>
      </c>
      <c r="Q21" s="279">
        <f t="shared" si="13"/>
      </c>
      <c r="R21" s="279">
        <f t="shared" si="13"/>
      </c>
      <c r="S21" s="212">
        <f t="shared" si="2"/>
        <v>75</v>
      </c>
      <c r="T21" s="418">
        <f t="shared" si="3"/>
        <v>0</v>
      </c>
      <c r="U21" s="282">
        <f t="shared" si="4"/>
        <v>175.323</v>
      </c>
      <c r="V21" s="283">
        <f>(($G21*86400)-U21)</f>
        <v>16.671999999999997</v>
      </c>
      <c r="W21" s="284">
        <f>IF(V21&lt;=0,10,IF(V21&lt;1,5,IF(V21&lt;2,0,IF(V21&lt;3,-5,-10))))</f>
        <v>-10</v>
      </c>
      <c r="X21" s="433">
        <f t="shared" si="7"/>
        <v>3</v>
      </c>
      <c r="Y21" s="196">
        <f t="shared" si="8"/>
        <v>5</v>
      </c>
      <c r="Z21" s="196">
        <f>IF($Y21="n/a","",_xlfn.IFERROR(COUNTIF($Y$2:$Y21,"="&amp;Y21),""))</f>
        <v>2</v>
      </c>
      <c r="AA21" s="196">
        <f>COUNTIF($X$2:X20,"&lt;"&amp;X21)</f>
        <v>0</v>
      </c>
      <c r="AB21" s="206">
        <f t="shared" si="9"/>
        <v>75</v>
      </c>
      <c r="AC21" s="212">
        <f t="shared" si="10"/>
        <v>65</v>
      </c>
    </row>
    <row r="22" spans="1:29" ht="12">
      <c r="A22" s="105">
        <v>141</v>
      </c>
      <c r="B22" s="542" t="s">
        <v>266</v>
      </c>
      <c r="C22" s="542" t="str">
        <f t="shared" si="12"/>
        <v>max lloyd</v>
      </c>
      <c r="D22" s="501" t="s">
        <v>21</v>
      </c>
      <c r="E22" s="36" t="s">
        <v>267</v>
      </c>
      <c r="F22" s="543" t="s">
        <v>332</v>
      </c>
      <c r="G22" s="544">
        <f t="shared" si="0"/>
        <v>0.00222337962962963</v>
      </c>
      <c r="H22" s="249">
        <f aca="true" t="shared" si="14" ref="H22:R31">IF($D22=H$1,$S22,"")</f>
      </c>
      <c r="I22" s="249">
        <f t="shared" si="14"/>
      </c>
      <c r="J22" s="249">
        <f t="shared" si="14"/>
      </c>
      <c r="K22" s="249">
        <f t="shared" si="14"/>
      </c>
      <c r="L22" s="249">
        <f t="shared" si="14"/>
      </c>
      <c r="M22" s="249">
        <f t="shared" si="14"/>
        <v>100</v>
      </c>
      <c r="N22" s="249">
        <f t="shared" si="14"/>
      </c>
      <c r="O22" s="249">
        <f t="shared" si="14"/>
      </c>
      <c r="P22" s="249">
        <f t="shared" si="14"/>
      </c>
      <c r="Q22" s="249">
        <f t="shared" si="14"/>
      </c>
      <c r="R22" s="249">
        <f t="shared" si="14"/>
      </c>
      <c r="S22" s="212">
        <f t="shared" si="2"/>
        <v>100</v>
      </c>
      <c r="T22" s="36">
        <f t="shared" si="3"/>
        <v>0</v>
      </c>
      <c r="U22" s="214">
        <f t="shared" si="4"/>
        <v>176.84099999999998</v>
      </c>
      <c r="V22" s="208">
        <f>(($G22*86400)-U22)</f>
        <v>15.259000000000043</v>
      </c>
      <c r="W22" s="106">
        <f>IF(V22&lt;=0,10,IF(V22&lt;1,5,IF(V22&lt;2,0,IF(V22&lt;3,-5,-10))))</f>
        <v>-10</v>
      </c>
      <c r="X22" s="433">
        <f t="shared" si="7"/>
        <v>2</v>
      </c>
      <c r="Y22" s="196">
        <f t="shared" si="8"/>
        <v>4</v>
      </c>
      <c r="Z22" s="196">
        <f>IF($Y22="n/a","",_xlfn.IFERROR(COUNTIF($Y$2:$Y22,"="&amp;Y22),""))</f>
        <v>1</v>
      </c>
      <c r="AA22" s="196">
        <f>COUNTIF($X$2:X21,"&lt;"&amp;X22)</f>
        <v>0</v>
      </c>
      <c r="AB22" s="206">
        <f t="shared" si="9"/>
        <v>100</v>
      </c>
      <c r="AC22" s="212">
        <f t="shared" si="10"/>
        <v>90</v>
      </c>
    </row>
    <row r="23" spans="1:29" ht="12">
      <c r="A23" s="105">
        <v>62</v>
      </c>
      <c r="B23" s="542" t="s">
        <v>258</v>
      </c>
      <c r="C23" s="542" t="str">
        <f t="shared" si="12"/>
        <v>noel heritage</v>
      </c>
      <c r="D23" s="501" t="s">
        <v>21</v>
      </c>
      <c r="E23" s="36" t="s">
        <v>259</v>
      </c>
      <c r="F23" s="543" t="s">
        <v>340</v>
      </c>
      <c r="G23" s="544">
        <f t="shared" si="0"/>
        <v>0.0022236805555555556</v>
      </c>
      <c r="H23" s="249">
        <f t="shared" si="14"/>
      </c>
      <c r="I23" s="249">
        <f t="shared" si="14"/>
      </c>
      <c r="J23" s="249">
        <f t="shared" si="14"/>
      </c>
      <c r="K23" s="249">
        <f t="shared" si="14"/>
      </c>
      <c r="L23" s="249">
        <f t="shared" si="14"/>
      </c>
      <c r="M23" s="249">
        <f t="shared" si="14"/>
        <v>75</v>
      </c>
      <c r="N23" s="249">
        <f t="shared" si="14"/>
      </c>
      <c r="O23" s="249">
        <f t="shared" si="14"/>
      </c>
      <c r="P23" s="249">
        <f t="shared" si="14"/>
      </c>
      <c r="Q23" s="249">
        <f t="shared" si="14"/>
      </c>
      <c r="R23" s="249">
        <f t="shared" si="14"/>
      </c>
      <c r="S23" s="212">
        <f t="shared" si="2"/>
        <v>75</v>
      </c>
      <c r="T23" s="36">
        <f t="shared" si="3"/>
        <v>0</v>
      </c>
      <c r="U23" s="214">
        <f t="shared" si="4"/>
        <v>176.84099999999998</v>
      </c>
      <c r="V23" s="208">
        <f>(($G23*86400)-U23)</f>
        <v>15.285000000000025</v>
      </c>
      <c r="W23" s="106">
        <f>IF(V23&lt;=0,10,IF(V23&lt;1,5,IF(V23&lt;2,0,IF(V23&lt;3,-5,-10))))</f>
        <v>-10</v>
      </c>
      <c r="X23" s="433">
        <f t="shared" si="7"/>
        <v>2</v>
      </c>
      <c r="Y23" s="196">
        <f t="shared" si="8"/>
        <v>4</v>
      </c>
      <c r="Z23" s="196">
        <f>IF($Y23="n/a","",_xlfn.IFERROR(COUNTIF($Y$2:$Y23,"="&amp;Y23),""))</f>
        <v>2</v>
      </c>
      <c r="AA23" s="196">
        <f>COUNTIF($X$2:X22,"&lt;"&amp;X23)</f>
        <v>0</v>
      </c>
      <c r="AB23" s="206">
        <f t="shared" si="9"/>
        <v>75</v>
      </c>
      <c r="AC23" s="212">
        <f t="shared" si="10"/>
        <v>65</v>
      </c>
    </row>
    <row r="24" spans="1:29" ht="12">
      <c r="A24" s="107">
        <v>82</v>
      </c>
      <c r="B24" s="545" t="s">
        <v>210</v>
      </c>
      <c r="C24" s="545" t="str">
        <f t="shared" si="12"/>
        <v>steve williamsz</v>
      </c>
      <c r="D24" s="504" t="s">
        <v>5</v>
      </c>
      <c r="E24" s="48" t="s">
        <v>260</v>
      </c>
      <c r="F24" s="546" t="s">
        <v>343</v>
      </c>
      <c r="G24" s="547">
        <f t="shared" si="0"/>
        <v>0.0022287962962962964</v>
      </c>
      <c r="H24" s="250">
        <f t="shared" si="14"/>
      </c>
      <c r="I24" s="250">
        <f t="shared" si="14"/>
      </c>
      <c r="J24" s="250">
        <f t="shared" si="14"/>
      </c>
      <c r="K24" s="250">
        <f t="shared" si="14"/>
      </c>
      <c r="L24" s="250">
        <f t="shared" si="14"/>
      </c>
      <c r="M24" s="250">
        <f t="shared" si="14"/>
      </c>
      <c r="N24" s="250">
        <f t="shared" si="14"/>
      </c>
      <c r="O24" s="250">
        <f t="shared" si="14"/>
      </c>
      <c r="P24" s="250">
        <f t="shared" si="14"/>
      </c>
      <c r="Q24" s="250">
        <f t="shared" si="14"/>
        <v>100</v>
      </c>
      <c r="R24" s="250">
        <f t="shared" si="14"/>
      </c>
      <c r="S24" s="212">
        <f t="shared" si="2"/>
        <v>100</v>
      </c>
      <c r="T24" s="48">
        <f aca="true" t="shared" si="15" ref="T24:T33">AB24-S24</f>
        <v>0</v>
      </c>
      <c r="U24" s="215">
        <f t="shared" si="4"/>
        <v>178.985</v>
      </c>
      <c r="V24" s="210">
        <f>(($G24*86400)-U24)</f>
        <v>13.582999999999998</v>
      </c>
      <c r="W24" s="108">
        <f>IF(V24&lt;=0,10,IF(V24&lt;1,5,IF(V24&lt;2,0,IF(V24&lt;3,-5,-10))))</f>
        <v>-10</v>
      </c>
      <c r="X24" s="433">
        <f t="shared" si="7"/>
        <v>1</v>
      </c>
      <c r="Y24" s="196">
        <f t="shared" si="8"/>
        <v>2</v>
      </c>
      <c r="Z24" s="196">
        <f>IF($Y24="n/a","",_xlfn.IFERROR(COUNTIF($Y$2:$Y24,"="&amp;Y24),""))</f>
        <v>1</v>
      </c>
      <c r="AA24" s="196">
        <f>COUNTIF($X$2:X23,"&lt;"&amp;X24)</f>
        <v>0</v>
      </c>
      <c r="AB24" s="206">
        <f t="shared" si="9"/>
        <v>100</v>
      </c>
      <c r="AC24" s="212">
        <f aca="true" t="shared" si="16" ref="AC24:AC33">(S24+T24+W24)</f>
        <v>90</v>
      </c>
    </row>
    <row r="25" spans="1:29" ht="12">
      <c r="A25" s="281">
        <v>2</v>
      </c>
      <c r="B25" s="539" t="s">
        <v>261</v>
      </c>
      <c r="C25" s="539" t="str">
        <f t="shared" si="12"/>
        <v>matt brogan</v>
      </c>
      <c r="D25" s="503" t="s">
        <v>4</v>
      </c>
      <c r="E25" s="418" t="s">
        <v>262</v>
      </c>
      <c r="F25" s="540" t="s">
        <v>342</v>
      </c>
      <c r="G25" s="541">
        <f t="shared" si="0"/>
        <v>0.002233773148148148</v>
      </c>
      <c r="H25" s="279">
        <f t="shared" si="14"/>
      </c>
      <c r="I25" s="279">
        <f t="shared" si="14"/>
      </c>
      <c r="J25" s="279">
        <f t="shared" si="14"/>
      </c>
      <c r="K25" s="279">
        <f t="shared" si="14"/>
      </c>
      <c r="L25" s="279">
        <f t="shared" si="14"/>
      </c>
      <c r="M25" s="279">
        <f t="shared" si="14"/>
      </c>
      <c r="N25" s="279">
        <f t="shared" si="14"/>
      </c>
      <c r="O25" s="279">
        <f t="shared" si="14"/>
      </c>
      <c r="P25" s="279">
        <f t="shared" si="14"/>
        <v>60</v>
      </c>
      <c r="Q25" s="279">
        <f t="shared" si="14"/>
      </c>
      <c r="R25" s="279">
        <f t="shared" si="14"/>
      </c>
      <c r="S25" s="212">
        <f t="shared" si="2"/>
        <v>60</v>
      </c>
      <c r="T25" s="418">
        <f t="shared" si="15"/>
        <v>-45</v>
      </c>
      <c r="U25" s="282">
        <f t="shared" si="4"/>
        <v>175.323</v>
      </c>
      <c r="V25" s="283">
        <f>(($G25*86400)-U25)</f>
        <v>17.674999999999983</v>
      </c>
      <c r="W25" s="284">
        <f>IF(V25&lt;=0,10,IF(V25&lt;1,5,IF(V25&lt;2,0,IF(V25&lt;3,-5,-10))))</f>
        <v>-10</v>
      </c>
      <c r="X25" s="433">
        <f t="shared" si="7"/>
        <v>3</v>
      </c>
      <c r="Y25" s="196">
        <f t="shared" si="8"/>
        <v>5</v>
      </c>
      <c r="Z25" s="196">
        <f>IF($Y25="n/a","",_xlfn.IFERROR(COUNTIF($Y$2:$Y25,"="&amp;Y25),""))</f>
        <v>3</v>
      </c>
      <c r="AA25" s="196">
        <f>COUNTIF($X$2:X24,"&lt;"&amp;X25)</f>
        <v>3</v>
      </c>
      <c r="AB25" s="206">
        <f t="shared" si="9"/>
        <v>15</v>
      </c>
      <c r="AC25" s="212">
        <f t="shared" si="16"/>
        <v>5</v>
      </c>
    </row>
    <row r="26" spans="1:29" ht="12">
      <c r="A26" s="347">
        <v>25</v>
      </c>
      <c r="B26" s="490" t="s">
        <v>268</v>
      </c>
      <c r="C26" s="490" t="str">
        <f t="shared" si="12"/>
        <v>deen hameed</v>
      </c>
      <c r="D26" s="8" t="s">
        <v>215</v>
      </c>
      <c r="E26" s="8" t="s">
        <v>269</v>
      </c>
      <c r="F26" s="17" t="s">
        <v>341</v>
      </c>
      <c r="G26" s="491">
        <f t="shared" si="0"/>
        <v>0.0022384722222222224</v>
      </c>
      <c r="H26" s="248">
        <f t="shared" si="14"/>
      </c>
      <c r="I26" s="248">
        <f t="shared" si="14"/>
      </c>
      <c r="J26" s="248">
        <f t="shared" si="14"/>
      </c>
      <c r="K26" s="248">
        <f t="shared" si="14"/>
      </c>
      <c r="L26" s="248">
        <f t="shared" si="14"/>
      </c>
      <c r="M26" s="248">
        <f t="shared" si="14"/>
      </c>
      <c r="N26" s="248">
        <f t="shared" si="14"/>
      </c>
      <c r="O26" s="248">
        <f t="shared" si="14"/>
      </c>
      <c r="P26" s="248">
        <f t="shared" si="14"/>
      </c>
      <c r="Q26" s="248">
        <f t="shared" si="14"/>
      </c>
      <c r="R26" s="248">
        <f t="shared" si="14"/>
      </c>
      <c r="S26" s="212">
        <f t="shared" si="2"/>
        <v>0</v>
      </c>
      <c r="T26" s="12">
        <f t="shared" si="15"/>
        <v>0</v>
      </c>
      <c r="U26" s="155">
        <f t="shared" si="4"/>
      </c>
      <c r="V26" s="209"/>
      <c r="W26" s="104"/>
      <c r="X26" s="433" t="str">
        <f t="shared" si="7"/>
        <v>n/a</v>
      </c>
      <c r="Y26" s="196" t="str">
        <f t="shared" si="8"/>
        <v>n/a</v>
      </c>
      <c r="Z26" s="196">
        <f>IF($Y26="n/a","",_xlfn.IFERROR(COUNTIF($Y$2:$Y26,"="&amp;Y26),""))</f>
      </c>
      <c r="AA26" s="196">
        <f>COUNTIF($X$2:X25,"&lt;"&amp;X26)</f>
        <v>0</v>
      </c>
      <c r="AB26" s="206">
        <f t="shared" si="9"/>
        <v>0</v>
      </c>
      <c r="AC26" s="212">
        <f t="shared" si="16"/>
        <v>0</v>
      </c>
    </row>
    <row r="27" spans="1:29" ht="12">
      <c r="A27" s="347">
        <v>953</v>
      </c>
      <c r="B27" s="490" t="s">
        <v>280</v>
      </c>
      <c r="C27" s="490" t="str">
        <f t="shared" si="12"/>
        <v>jamie martin</v>
      </c>
      <c r="D27" s="8" t="s">
        <v>215</v>
      </c>
      <c r="E27" s="8" t="s">
        <v>281</v>
      </c>
      <c r="F27" s="17" t="s">
        <v>328</v>
      </c>
      <c r="G27" s="491">
        <f t="shared" si="0"/>
        <v>0.0022405324074074072</v>
      </c>
      <c r="H27" s="248">
        <f t="shared" si="14"/>
      </c>
      <c r="I27" s="248">
        <f t="shared" si="14"/>
      </c>
      <c r="J27" s="248">
        <f t="shared" si="14"/>
      </c>
      <c r="K27" s="248">
        <f t="shared" si="14"/>
      </c>
      <c r="L27" s="248">
        <f t="shared" si="14"/>
      </c>
      <c r="M27" s="248">
        <f t="shared" si="14"/>
      </c>
      <c r="N27" s="248">
        <f t="shared" si="14"/>
      </c>
      <c r="O27" s="248">
        <f t="shared" si="14"/>
      </c>
      <c r="P27" s="248">
        <f t="shared" si="14"/>
      </c>
      <c r="Q27" s="248">
        <f t="shared" si="14"/>
      </c>
      <c r="R27" s="248">
        <f t="shared" si="14"/>
      </c>
      <c r="S27" s="212">
        <f t="shared" si="2"/>
        <v>0</v>
      </c>
      <c r="T27" s="12">
        <f t="shared" si="15"/>
        <v>0</v>
      </c>
      <c r="U27" s="155">
        <f t="shared" si="4"/>
      </c>
      <c r="V27" s="209"/>
      <c r="W27" s="104"/>
      <c r="X27" s="433" t="str">
        <f t="shared" si="7"/>
        <v>n/a</v>
      </c>
      <c r="Y27" s="196" t="str">
        <f t="shared" si="8"/>
        <v>n/a</v>
      </c>
      <c r="Z27" s="196">
        <f>IF($Y27="n/a","",_xlfn.IFERROR(COUNTIF($Y$2:$Y27,"="&amp;Y27),""))</f>
      </c>
      <c r="AA27" s="196">
        <f>COUNTIF($X$2:X26,"&lt;"&amp;X27)</f>
        <v>0</v>
      </c>
      <c r="AB27" s="206">
        <f t="shared" si="9"/>
        <v>0</v>
      </c>
      <c r="AC27" s="212">
        <f t="shared" si="16"/>
        <v>0</v>
      </c>
    </row>
    <row r="28" spans="1:29" ht="12">
      <c r="A28" s="347">
        <v>29</v>
      </c>
      <c r="B28" s="490" t="s">
        <v>273</v>
      </c>
      <c r="C28" s="490" t="str">
        <f t="shared" si="12"/>
        <v>andrew tate</v>
      </c>
      <c r="D28" s="8" t="s">
        <v>217</v>
      </c>
      <c r="E28" s="8" t="s">
        <v>274</v>
      </c>
      <c r="F28" s="17" t="s">
        <v>335</v>
      </c>
      <c r="G28" s="491">
        <f t="shared" si="0"/>
        <v>0.0022409722222222223</v>
      </c>
      <c r="H28" s="248">
        <f t="shared" si="14"/>
      </c>
      <c r="I28" s="248">
        <f t="shared" si="14"/>
      </c>
      <c r="J28" s="248">
        <f t="shared" si="14"/>
      </c>
      <c r="K28" s="248">
        <f t="shared" si="14"/>
      </c>
      <c r="L28" s="248">
        <f t="shared" si="14"/>
      </c>
      <c r="M28" s="248">
        <f t="shared" si="14"/>
      </c>
      <c r="N28" s="248">
        <f t="shared" si="14"/>
      </c>
      <c r="O28" s="248">
        <f t="shared" si="14"/>
      </c>
      <c r="P28" s="248">
        <f t="shared" si="14"/>
      </c>
      <c r="Q28" s="248">
        <f t="shared" si="14"/>
      </c>
      <c r="R28" s="248">
        <f t="shared" si="14"/>
      </c>
      <c r="S28" s="212">
        <f t="shared" si="2"/>
        <v>0</v>
      </c>
      <c r="T28" s="12">
        <f t="shared" si="15"/>
        <v>0</v>
      </c>
      <c r="U28" s="155">
        <f t="shared" si="4"/>
      </c>
      <c r="V28" s="209"/>
      <c r="W28" s="104"/>
      <c r="X28" s="433" t="str">
        <f t="shared" si="7"/>
        <v>n/a</v>
      </c>
      <c r="Y28" s="196" t="str">
        <f t="shared" si="8"/>
        <v>n/a</v>
      </c>
      <c r="Z28" s="196">
        <f>IF($Y28="n/a","",_xlfn.IFERROR(COUNTIF($Y$2:$Y28,"="&amp;Y28),""))</f>
      </c>
      <c r="AA28" s="196">
        <f>COUNTIF($X$2:X27,"&lt;"&amp;X28)</f>
        <v>0</v>
      </c>
      <c r="AB28" s="206">
        <f t="shared" si="9"/>
        <v>0</v>
      </c>
      <c r="AC28" s="212">
        <f t="shared" si="16"/>
        <v>0</v>
      </c>
    </row>
    <row r="29" spans="1:29" ht="12">
      <c r="A29" s="347">
        <v>87</v>
      </c>
      <c r="B29" s="490" t="s">
        <v>222</v>
      </c>
      <c r="C29" s="490" t="str">
        <f t="shared" si="12"/>
        <v>david lawler</v>
      </c>
      <c r="D29" s="8" t="s">
        <v>215</v>
      </c>
      <c r="E29" s="8" t="s">
        <v>223</v>
      </c>
      <c r="F29" s="17" t="s">
        <v>357</v>
      </c>
      <c r="G29" s="491">
        <f t="shared" si="0"/>
        <v>0.0022542824074074075</v>
      </c>
      <c r="H29" s="248">
        <f t="shared" si="14"/>
      </c>
      <c r="I29" s="248">
        <f t="shared" si="14"/>
      </c>
      <c r="J29" s="248">
        <f t="shared" si="14"/>
      </c>
      <c r="K29" s="248">
        <f t="shared" si="14"/>
      </c>
      <c r="L29" s="248">
        <f t="shared" si="14"/>
      </c>
      <c r="M29" s="248">
        <f t="shared" si="14"/>
      </c>
      <c r="N29" s="248">
        <f t="shared" si="14"/>
      </c>
      <c r="O29" s="248">
        <f t="shared" si="14"/>
      </c>
      <c r="P29" s="248">
        <f t="shared" si="14"/>
      </c>
      <c r="Q29" s="248">
        <f t="shared" si="14"/>
      </c>
      <c r="R29" s="248">
        <f t="shared" si="14"/>
      </c>
      <c r="S29" s="212">
        <f t="shared" si="2"/>
        <v>0</v>
      </c>
      <c r="T29" s="12">
        <f t="shared" si="15"/>
        <v>0</v>
      </c>
      <c r="U29" s="155">
        <f t="shared" si="4"/>
      </c>
      <c r="V29" s="209"/>
      <c r="W29" s="104"/>
      <c r="X29" s="433" t="str">
        <f t="shared" si="7"/>
        <v>n/a</v>
      </c>
      <c r="Y29" s="196" t="str">
        <f t="shared" si="8"/>
        <v>n/a</v>
      </c>
      <c r="Z29" s="196">
        <f>IF($Y29="n/a","",_xlfn.IFERROR(COUNTIF($Y$2:$Y29,"="&amp;Y29),""))</f>
      </c>
      <c r="AA29" s="196">
        <f>COUNTIF($X$2:X28,"&lt;"&amp;X29)</f>
        <v>0</v>
      </c>
      <c r="AB29" s="206">
        <f t="shared" si="9"/>
        <v>0</v>
      </c>
      <c r="AC29" s="212">
        <f t="shared" si="16"/>
        <v>0</v>
      </c>
    </row>
    <row r="30" spans="1:29" ht="12">
      <c r="A30" s="347">
        <v>73</v>
      </c>
      <c r="B30" s="490" t="s">
        <v>209</v>
      </c>
      <c r="C30" s="490" t="str">
        <f t="shared" si="12"/>
        <v>jarrah pitt</v>
      </c>
      <c r="D30" s="8" t="s">
        <v>217</v>
      </c>
      <c r="E30" s="8" t="s">
        <v>278</v>
      </c>
      <c r="F30" s="17" t="s">
        <v>339</v>
      </c>
      <c r="G30" s="491">
        <f t="shared" si="0"/>
        <v>0.0022582407407407403</v>
      </c>
      <c r="H30" s="248">
        <f t="shared" si="14"/>
      </c>
      <c r="I30" s="248">
        <f t="shared" si="14"/>
      </c>
      <c r="J30" s="248">
        <f t="shared" si="14"/>
      </c>
      <c r="K30" s="248">
        <f t="shared" si="14"/>
      </c>
      <c r="L30" s="248">
        <f t="shared" si="14"/>
      </c>
      <c r="M30" s="248">
        <f t="shared" si="14"/>
      </c>
      <c r="N30" s="248">
        <f t="shared" si="14"/>
      </c>
      <c r="O30" s="248">
        <f t="shared" si="14"/>
      </c>
      <c r="P30" s="248">
        <f t="shared" si="14"/>
      </c>
      <c r="Q30" s="248">
        <f t="shared" si="14"/>
      </c>
      <c r="R30" s="248">
        <f t="shared" si="14"/>
      </c>
      <c r="S30" s="212">
        <f t="shared" si="2"/>
        <v>0</v>
      </c>
      <c r="T30" s="12">
        <f t="shared" si="15"/>
        <v>0</v>
      </c>
      <c r="U30" s="155">
        <f t="shared" si="4"/>
      </c>
      <c r="V30" s="209"/>
      <c r="W30" s="104"/>
      <c r="X30" s="433" t="str">
        <f t="shared" si="7"/>
        <v>n/a</v>
      </c>
      <c r="Y30" s="196" t="str">
        <f t="shared" si="8"/>
        <v>n/a</v>
      </c>
      <c r="Z30" s="196">
        <f>IF($Y30="n/a","",_xlfn.IFERROR(COUNTIF($Y$2:$Y30,"="&amp;Y30),""))</f>
      </c>
      <c r="AA30" s="196">
        <f>COUNTIF($X$2:X29,"&lt;"&amp;X30)</f>
        <v>0</v>
      </c>
      <c r="AB30" s="206">
        <f t="shared" si="9"/>
        <v>0</v>
      </c>
      <c r="AC30" s="212">
        <f t="shared" si="16"/>
        <v>0</v>
      </c>
    </row>
    <row r="31" spans="1:29" ht="12">
      <c r="A31" s="347">
        <v>187</v>
      </c>
      <c r="B31" s="490" t="s">
        <v>282</v>
      </c>
      <c r="C31" s="490" t="str">
        <f t="shared" si="12"/>
        <v>michael demaio</v>
      </c>
      <c r="D31" s="8" t="s">
        <v>215</v>
      </c>
      <c r="E31" s="8" t="s">
        <v>283</v>
      </c>
      <c r="F31" s="17" t="s">
        <v>337</v>
      </c>
      <c r="G31" s="491">
        <f t="shared" si="0"/>
        <v>0.0022683101851851853</v>
      </c>
      <c r="H31" s="248">
        <f t="shared" si="14"/>
      </c>
      <c r="I31" s="248">
        <f t="shared" si="14"/>
      </c>
      <c r="J31" s="248">
        <f t="shared" si="14"/>
      </c>
      <c r="K31" s="248">
        <f t="shared" si="14"/>
      </c>
      <c r="L31" s="248">
        <f t="shared" si="14"/>
      </c>
      <c r="M31" s="248">
        <f t="shared" si="14"/>
      </c>
      <c r="N31" s="248">
        <f t="shared" si="14"/>
      </c>
      <c r="O31" s="248">
        <f t="shared" si="14"/>
      </c>
      <c r="P31" s="248">
        <f t="shared" si="14"/>
      </c>
      <c r="Q31" s="248">
        <f t="shared" si="14"/>
      </c>
      <c r="R31" s="248">
        <f t="shared" si="14"/>
      </c>
      <c r="S31" s="212">
        <f t="shared" si="2"/>
        <v>0</v>
      </c>
      <c r="T31" s="12">
        <f t="shared" si="15"/>
        <v>0</v>
      </c>
      <c r="U31" s="155">
        <f t="shared" si="4"/>
      </c>
      <c r="V31" s="209"/>
      <c r="W31" s="104"/>
      <c r="X31" s="433" t="str">
        <f t="shared" si="7"/>
        <v>n/a</v>
      </c>
      <c r="Y31" s="196" t="str">
        <f t="shared" si="8"/>
        <v>n/a</v>
      </c>
      <c r="Z31" s="196">
        <f>IF($Y31="n/a","",_xlfn.IFERROR(COUNTIF($Y$2:$Y31,"="&amp;Y31),""))</f>
      </c>
      <c r="AA31" s="196">
        <f>COUNTIF($X$2:X30,"&lt;"&amp;X31)</f>
        <v>0</v>
      </c>
      <c r="AB31" s="206">
        <f t="shared" si="9"/>
        <v>0</v>
      </c>
      <c r="AC31" s="212">
        <f t="shared" si="16"/>
        <v>0</v>
      </c>
    </row>
    <row r="32" spans="1:29" ht="12">
      <c r="A32" s="347">
        <v>58</v>
      </c>
      <c r="B32" s="490" t="s">
        <v>270</v>
      </c>
      <c r="C32" s="490" t="str">
        <f t="shared" si="12"/>
        <v>murray seymour</v>
      </c>
      <c r="D32" s="8" t="s">
        <v>217</v>
      </c>
      <c r="E32" s="8" t="s">
        <v>271</v>
      </c>
      <c r="F32" s="17" t="s">
        <v>348</v>
      </c>
      <c r="G32" s="491">
        <f t="shared" si="0"/>
        <v>0.002283229166666667</v>
      </c>
      <c r="H32" s="248">
        <f aca="true" t="shared" si="17" ref="H32:R41">IF($D32=H$1,$S32,"")</f>
      </c>
      <c r="I32" s="248">
        <f t="shared" si="17"/>
      </c>
      <c r="J32" s="248">
        <f t="shared" si="17"/>
      </c>
      <c r="K32" s="248">
        <f t="shared" si="17"/>
      </c>
      <c r="L32" s="248">
        <f t="shared" si="17"/>
      </c>
      <c r="M32" s="248">
        <f t="shared" si="17"/>
      </c>
      <c r="N32" s="248">
        <f t="shared" si="17"/>
      </c>
      <c r="O32" s="248">
        <f t="shared" si="17"/>
      </c>
      <c r="P32" s="248">
        <f t="shared" si="17"/>
      </c>
      <c r="Q32" s="248">
        <f t="shared" si="17"/>
      </c>
      <c r="R32" s="248">
        <f t="shared" si="17"/>
      </c>
      <c r="S32" s="212">
        <f t="shared" si="2"/>
        <v>0</v>
      </c>
      <c r="T32" s="12">
        <f t="shared" si="15"/>
        <v>0</v>
      </c>
      <c r="U32" s="155">
        <f t="shared" si="4"/>
      </c>
      <c r="V32" s="209"/>
      <c r="W32" s="104"/>
      <c r="X32" s="433" t="str">
        <f t="shared" si="7"/>
        <v>n/a</v>
      </c>
      <c r="Y32" s="196" t="str">
        <f t="shared" si="8"/>
        <v>n/a</v>
      </c>
      <c r="Z32" s="196">
        <f>IF($Y32="n/a","",_xlfn.IFERROR(COUNTIF($Y$2:$Y32,"="&amp;Y32),""))</f>
      </c>
      <c r="AA32" s="196">
        <f>COUNTIF($X$2:X31,"&lt;"&amp;X32)</f>
        <v>0</v>
      </c>
      <c r="AB32" s="206">
        <f t="shared" si="9"/>
        <v>0</v>
      </c>
      <c r="AC32" s="212">
        <f t="shared" si="16"/>
        <v>0</v>
      </c>
    </row>
    <row r="33" spans="1:29" ht="12">
      <c r="A33" s="347">
        <v>81</v>
      </c>
      <c r="B33" s="490" t="s">
        <v>254</v>
      </c>
      <c r="C33" s="490" t="str">
        <f t="shared" si="12"/>
        <v>paul nudd</v>
      </c>
      <c r="D33" s="8" t="s">
        <v>215</v>
      </c>
      <c r="E33" s="8" t="s">
        <v>255</v>
      </c>
      <c r="F33" s="17" t="s">
        <v>351</v>
      </c>
      <c r="G33" s="491">
        <f t="shared" si="0"/>
        <v>0.0022861921296296298</v>
      </c>
      <c r="H33" s="248">
        <f t="shared" si="17"/>
      </c>
      <c r="I33" s="248">
        <f t="shared" si="17"/>
      </c>
      <c r="J33" s="248">
        <f t="shared" si="17"/>
      </c>
      <c r="K33" s="248">
        <f t="shared" si="17"/>
      </c>
      <c r="L33" s="248">
        <f t="shared" si="17"/>
      </c>
      <c r="M33" s="248">
        <f t="shared" si="17"/>
      </c>
      <c r="N33" s="248">
        <f t="shared" si="17"/>
      </c>
      <c r="O33" s="248">
        <f t="shared" si="17"/>
      </c>
      <c r="P33" s="248">
        <f t="shared" si="17"/>
      </c>
      <c r="Q33" s="248">
        <f t="shared" si="17"/>
      </c>
      <c r="R33" s="248">
        <f t="shared" si="17"/>
      </c>
      <c r="S33" s="212">
        <f t="shared" si="2"/>
        <v>0</v>
      </c>
      <c r="T33" s="12">
        <f t="shared" si="15"/>
        <v>0</v>
      </c>
      <c r="U33" s="155">
        <f t="shared" si="4"/>
      </c>
      <c r="V33" s="209"/>
      <c r="W33" s="104"/>
      <c r="X33" s="433" t="str">
        <f t="shared" si="7"/>
        <v>n/a</v>
      </c>
      <c r="Y33" s="196" t="str">
        <f t="shared" si="8"/>
        <v>n/a</v>
      </c>
      <c r="Z33" s="196">
        <f>IF($Y33="n/a","",_xlfn.IFERROR(COUNTIF($Y$2:$Y33,"="&amp;Y33),""))</f>
      </c>
      <c r="AA33" s="196">
        <f>COUNTIF($X$2:X32,"&lt;"&amp;X33)</f>
        <v>0</v>
      </c>
      <c r="AB33" s="206">
        <f t="shared" si="9"/>
        <v>0</v>
      </c>
      <c r="AC33" s="212">
        <f t="shared" si="16"/>
        <v>0</v>
      </c>
    </row>
    <row r="34" spans="1:29" ht="12">
      <c r="A34" s="107">
        <v>241</v>
      </c>
      <c r="B34" s="545" t="s">
        <v>288</v>
      </c>
      <c r="C34" s="545" t="str">
        <f t="shared" si="12"/>
        <v>john downes</v>
      </c>
      <c r="D34" s="504" t="s">
        <v>5</v>
      </c>
      <c r="E34" s="48" t="s">
        <v>289</v>
      </c>
      <c r="F34" s="546" t="s">
        <v>346</v>
      </c>
      <c r="G34" s="547">
        <f aca="true" t="shared" si="18" ref="G34:G56">E34+F34</f>
        <v>0.0023055092592592593</v>
      </c>
      <c r="H34" s="250">
        <f t="shared" si="17"/>
      </c>
      <c r="I34" s="250">
        <f t="shared" si="17"/>
      </c>
      <c r="J34" s="250">
        <f t="shared" si="17"/>
      </c>
      <c r="K34" s="250">
        <f t="shared" si="17"/>
      </c>
      <c r="L34" s="250">
        <f t="shared" si="17"/>
      </c>
      <c r="M34" s="250">
        <f t="shared" si="17"/>
      </c>
      <c r="N34" s="250">
        <f t="shared" si="17"/>
      </c>
      <c r="O34" s="250">
        <f t="shared" si="17"/>
      </c>
      <c r="P34" s="250">
        <f t="shared" si="17"/>
      </c>
      <c r="Q34" s="250">
        <f t="shared" si="17"/>
        <v>75</v>
      </c>
      <c r="R34" s="250">
        <f t="shared" si="17"/>
      </c>
      <c r="S34" s="212">
        <f aca="true" t="shared" si="19" ref="S34:S56">_xlfn.IFERROR(VLOOKUP($Z34,Points2018,2,0),0)</f>
        <v>75</v>
      </c>
      <c r="T34" s="48">
        <f>AB34-S34</f>
        <v>0</v>
      </c>
      <c r="U34" s="215">
        <f aca="true" t="shared" si="20" ref="U34:U56">_xlfn.IFERROR(VLOOKUP(D34,BenchmarksRd3,4,0)*86400,"")</f>
        <v>178.985</v>
      </c>
      <c r="V34" s="210">
        <f>(($G34*86400)-U34)</f>
        <v>20.210999999999984</v>
      </c>
      <c r="W34" s="108">
        <f>IF(V34&lt;=0,10,IF(V34&lt;1,5,IF(V34&lt;2,0,IF(V34&lt;3,-5,-10))))</f>
        <v>-10</v>
      </c>
      <c r="X34" s="433">
        <f aca="true" t="shared" si="21" ref="X34:X56">_xlfn.IFERROR(VLOOKUP(D34,Class2018,4,0),"n/a")</f>
        <v>1</v>
      </c>
      <c r="Y34" s="196">
        <f aca="true" t="shared" si="22" ref="Y34:Y56">_xlfn.IFERROR(VLOOKUP(D34,Class2018,3,0),"n/a")</f>
        <v>2</v>
      </c>
      <c r="Z34" s="196">
        <f>IF($Y34="n/a","",_xlfn.IFERROR(COUNTIF($Y$2:$Y34,"="&amp;Y34),""))</f>
        <v>2</v>
      </c>
      <c r="AA34" s="196">
        <f>COUNTIF($X$2:X3,"&lt;"&amp;X34)</f>
        <v>0</v>
      </c>
      <c r="AB34" s="206">
        <f aca="true" t="shared" si="23" ref="AB34:AB56">IF($Y34="n/a",0,_xlfn.IFERROR(VLOOKUP(Z34+AA34,Points2018,2,0),15))</f>
        <v>75</v>
      </c>
      <c r="AC34" s="212">
        <f>(S34+T34+W34)</f>
        <v>65</v>
      </c>
    </row>
    <row r="35" spans="1:29" ht="12">
      <c r="A35" s="347">
        <v>741</v>
      </c>
      <c r="B35" s="490" t="s">
        <v>284</v>
      </c>
      <c r="C35" s="490" t="str">
        <f t="shared" si="12"/>
        <v>peter feutrill</v>
      </c>
      <c r="D35" s="8" t="s">
        <v>215</v>
      </c>
      <c r="E35" s="8" t="s">
        <v>285</v>
      </c>
      <c r="F35" s="17" t="s">
        <v>347</v>
      </c>
      <c r="G35" s="491">
        <f t="shared" si="18"/>
        <v>0.002312337962962963</v>
      </c>
      <c r="H35" s="248">
        <f t="shared" si="17"/>
      </c>
      <c r="I35" s="248">
        <f t="shared" si="17"/>
      </c>
      <c r="J35" s="248">
        <f t="shared" si="17"/>
      </c>
      <c r="K35" s="248">
        <f t="shared" si="17"/>
      </c>
      <c r="L35" s="248">
        <f t="shared" si="17"/>
      </c>
      <c r="M35" s="248">
        <f t="shared" si="17"/>
      </c>
      <c r="N35" s="248">
        <f t="shared" si="17"/>
      </c>
      <c r="O35" s="248">
        <f t="shared" si="17"/>
      </c>
      <c r="P35" s="248">
        <f t="shared" si="17"/>
      </c>
      <c r="Q35" s="248">
        <f t="shared" si="17"/>
      </c>
      <c r="R35" s="248">
        <f t="shared" si="17"/>
      </c>
      <c r="S35" s="212">
        <f t="shared" si="19"/>
        <v>0</v>
      </c>
      <c r="T35" s="12">
        <f>AB35-S35</f>
        <v>0</v>
      </c>
      <c r="U35" s="155">
        <f t="shared" si="20"/>
      </c>
      <c r="V35" s="209"/>
      <c r="W35" s="104"/>
      <c r="X35" s="433" t="str">
        <f t="shared" si="21"/>
        <v>n/a</v>
      </c>
      <c r="Y35" s="196" t="str">
        <f t="shared" si="22"/>
        <v>n/a</v>
      </c>
      <c r="Z35" s="196">
        <f>IF($Y35="n/a","",_xlfn.IFERROR(COUNTIF($Y$2:$Y35,"="&amp;Y35),""))</f>
      </c>
      <c r="AA35" s="196">
        <f>COUNTIF($X$2:X34,"&lt;"&amp;X35)</f>
        <v>0</v>
      </c>
      <c r="AB35" s="206">
        <f t="shared" si="23"/>
        <v>0</v>
      </c>
      <c r="AC35" s="212">
        <f>(S35+T35+W35)</f>
        <v>0</v>
      </c>
    </row>
    <row r="36" spans="1:29" ht="12">
      <c r="A36" s="347">
        <v>184</v>
      </c>
      <c r="B36" s="490" t="s">
        <v>294</v>
      </c>
      <c r="C36" s="490" t="str">
        <f t="shared" si="12"/>
        <v>graham fletcher</v>
      </c>
      <c r="D36" s="8" t="s">
        <v>215</v>
      </c>
      <c r="E36" s="8" t="s">
        <v>295</v>
      </c>
      <c r="F36" s="17" t="s">
        <v>345</v>
      </c>
      <c r="G36" s="491">
        <f t="shared" si="18"/>
        <v>0.002314270833333333</v>
      </c>
      <c r="H36" s="248">
        <f t="shared" si="17"/>
      </c>
      <c r="I36" s="248">
        <f t="shared" si="17"/>
      </c>
      <c r="J36" s="248">
        <f t="shared" si="17"/>
      </c>
      <c r="K36" s="248">
        <f t="shared" si="17"/>
      </c>
      <c r="L36" s="248">
        <f t="shared" si="17"/>
      </c>
      <c r="M36" s="248">
        <f t="shared" si="17"/>
      </c>
      <c r="N36" s="248">
        <f t="shared" si="17"/>
      </c>
      <c r="O36" s="248">
        <f t="shared" si="17"/>
      </c>
      <c r="P36" s="248">
        <f t="shared" si="17"/>
      </c>
      <c r="Q36" s="248">
        <f t="shared" si="17"/>
      </c>
      <c r="R36" s="248">
        <f t="shared" si="17"/>
      </c>
      <c r="S36" s="212">
        <f t="shared" si="19"/>
        <v>0</v>
      </c>
      <c r="T36" s="12">
        <f>AB36-S36</f>
        <v>0</v>
      </c>
      <c r="U36" s="155">
        <f t="shared" si="20"/>
      </c>
      <c r="V36" s="209"/>
      <c r="W36" s="104"/>
      <c r="X36" s="433" t="str">
        <f t="shared" si="21"/>
        <v>n/a</v>
      </c>
      <c r="Y36" s="196" t="str">
        <f t="shared" si="22"/>
        <v>n/a</v>
      </c>
      <c r="Z36" s="196">
        <f>IF($Y36="n/a","",_xlfn.IFERROR(COUNTIF($Y$2:$Y36,"="&amp;Y36),""))</f>
      </c>
      <c r="AA36" s="196">
        <f>COUNTIF($X$2:X35,"&lt;"&amp;X36)</f>
        <v>0</v>
      </c>
      <c r="AB36" s="206">
        <f t="shared" si="23"/>
        <v>0</v>
      </c>
      <c r="AC36" s="212">
        <f>(S36+T36+W36)</f>
        <v>0</v>
      </c>
    </row>
    <row r="37" spans="1:29" ht="12">
      <c r="A37" s="347">
        <v>242</v>
      </c>
      <c r="B37" s="490" t="s">
        <v>207</v>
      </c>
      <c r="C37" s="490" t="str">
        <f t="shared" si="12"/>
        <v>leon bogers</v>
      </c>
      <c r="D37" s="8" t="s">
        <v>217</v>
      </c>
      <c r="E37" s="8" t="s">
        <v>272</v>
      </c>
      <c r="F37" s="17" t="s">
        <v>352</v>
      </c>
      <c r="G37" s="491">
        <f t="shared" si="18"/>
        <v>0.0023274189814814815</v>
      </c>
      <c r="H37" s="248">
        <f t="shared" si="17"/>
      </c>
      <c r="I37" s="248">
        <f t="shared" si="17"/>
      </c>
      <c r="J37" s="248">
        <f t="shared" si="17"/>
      </c>
      <c r="K37" s="248">
        <f t="shared" si="17"/>
      </c>
      <c r="L37" s="248">
        <f t="shared" si="17"/>
      </c>
      <c r="M37" s="248">
        <f t="shared" si="17"/>
      </c>
      <c r="N37" s="248">
        <f t="shared" si="17"/>
      </c>
      <c r="O37" s="248">
        <f t="shared" si="17"/>
      </c>
      <c r="P37" s="248">
        <f t="shared" si="17"/>
      </c>
      <c r="Q37" s="248">
        <f t="shared" si="17"/>
      </c>
      <c r="R37" s="248">
        <f t="shared" si="17"/>
      </c>
      <c r="S37" s="212">
        <f t="shared" si="19"/>
        <v>0</v>
      </c>
      <c r="T37" s="12">
        <f aca="true" t="shared" si="24" ref="T37:T50">AB37-S37</f>
        <v>0</v>
      </c>
      <c r="U37" s="155">
        <f t="shared" si="20"/>
      </c>
      <c r="V37" s="209"/>
      <c r="W37" s="104"/>
      <c r="X37" s="433" t="str">
        <f t="shared" si="21"/>
        <v>n/a</v>
      </c>
      <c r="Y37" s="196" t="str">
        <f t="shared" si="22"/>
        <v>n/a</v>
      </c>
      <c r="Z37" s="196">
        <f>IF($Y37="n/a","",_xlfn.IFERROR(COUNTIF($Y$2:$Y37,"="&amp;Y37),""))</f>
      </c>
      <c r="AA37" s="196">
        <f>COUNTIF($X$2:X22,"&lt;"&amp;X37)</f>
        <v>0</v>
      </c>
      <c r="AB37" s="206">
        <f t="shared" si="23"/>
        <v>0</v>
      </c>
      <c r="AC37" s="212">
        <f aca="true" t="shared" si="25" ref="AC37:AC50">(S37+T37+W37)</f>
        <v>0</v>
      </c>
    </row>
    <row r="38" spans="1:29" ht="12">
      <c r="A38" s="347">
        <v>28</v>
      </c>
      <c r="B38" s="490" t="s">
        <v>286</v>
      </c>
      <c r="C38" s="490" t="str">
        <f t="shared" si="12"/>
        <v>allan gibson</v>
      </c>
      <c r="D38" s="8" t="s">
        <v>215</v>
      </c>
      <c r="E38" s="8" t="s">
        <v>287</v>
      </c>
      <c r="F38" s="17" t="s">
        <v>350</v>
      </c>
      <c r="G38" s="491">
        <f t="shared" si="18"/>
        <v>0.0023342824074074073</v>
      </c>
      <c r="H38" s="248">
        <f t="shared" si="17"/>
      </c>
      <c r="I38" s="248">
        <f t="shared" si="17"/>
      </c>
      <c r="J38" s="248">
        <f t="shared" si="17"/>
      </c>
      <c r="K38" s="248">
        <f t="shared" si="17"/>
      </c>
      <c r="L38" s="248">
        <f t="shared" si="17"/>
      </c>
      <c r="M38" s="248">
        <f t="shared" si="17"/>
      </c>
      <c r="N38" s="248">
        <f t="shared" si="17"/>
      </c>
      <c r="O38" s="248">
        <f t="shared" si="17"/>
      </c>
      <c r="P38" s="248">
        <f t="shared" si="17"/>
      </c>
      <c r="Q38" s="248">
        <f t="shared" si="17"/>
      </c>
      <c r="R38" s="248">
        <f t="shared" si="17"/>
      </c>
      <c r="S38" s="212">
        <f t="shared" si="19"/>
        <v>0</v>
      </c>
      <c r="T38" s="12">
        <f t="shared" si="24"/>
        <v>0</v>
      </c>
      <c r="U38" s="155">
        <f t="shared" si="20"/>
      </c>
      <c r="V38" s="209"/>
      <c r="W38" s="104"/>
      <c r="X38" s="433" t="str">
        <f t="shared" si="21"/>
        <v>n/a</v>
      </c>
      <c r="Y38" s="196" t="str">
        <f t="shared" si="22"/>
        <v>n/a</v>
      </c>
      <c r="Z38" s="196">
        <f>IF($Y38="n/a","",_xlfn.IFERROR(COUNTIF($Y$2:$Y38,"="&amp;Y38),""))</f>
      </c>
      <c r="AA38" s="196">
        <f>COUNTIF($X$2:X37,"&lt;"&amp;X38)</f>
        <v>0</v>
      </c>
      <c r="AB38" s="206">
        <f t="shared" si="23"/>
        <v>0</v>
      </c>
      <c r="AC38" s="212">
        <f t="shared" si="25"/>
        <v>0</v>
      </c>
    </row>
    <row r="39" spans="1:29" ht="12">
      <c r="A39" s="347">
        <v>146</v>
      </c>
      <c r="B39" s="490" t="s">
        <v>264</v>
      </c>
      <c r="C39" s="490" t="str">
        <f t="shared" si="12"/>
        <v>brock watchorn</v>
      </c>
      <c r="D39" s="8" t="s">
        <v>217</v>
      </c>
      <c r="E39" s="8" t="s">
        <v>265</v>
      </c>
      <c r="F39" s="17" t="s">
        <v>355</v>
      </c>
      <c r="G39" s="491">
        <f t="shared" si="18"/>
        <v>0.002336122685185185</v>
      </c>
      <c r="H39" s="248">
        <f t="shared" si="17"/>
      </c>
      <c r="I39" s="248">
        <f t="shared" si="17"/>
      </c>
      <c r="J39" s="248">
        <f t="shared" si="17"/>
      </c>
      <c r="K39" s="248">
        <f t="shared" si="17"/>
      </c>
      <c r="L39" s="248">
        <f t="shared" si="17"/>
      </c>
      <c r="M39" s="248">
        <f t="shared" si="17"/>
      </c>
      <c r="N39" s="248">
        <f t="shared" si="17"/>
      </c>
      <c r="O39" s="248">
        <f t="shared" si="17"/>
      </c>
      <c r="P39" s="248">
        <f t="shared" si="17"/>
      </c>
      <c r="Q39" s="248">
        <f t="shared" si="17"/>
      </c>
      <c r="R39" s="248">
        <f t="shared" si="17"/>
      </c>
      <c r="S39" s="212">
        <f t="shared" si="19"/>
        <v>0</v>
      </c>
      <c r="T39" s="12">
        <f t="shared" si="24"/>
        <v>0</v>
      </c>
      <c r="U39" s="155">
        <f t="shared" si="20"/>
      </c>
      <c r="V39" s="209"/>
      <c r="W39" s="104"/>
      <c r="X39" s="433" t="str">
        <f t="shared" si="21"/>
        <v>n/a</v>
      </c>
      <c r="Y39" s="196" t="str">
        <f t="shared" si="22"/>
        <v>n/a</v>
      </c>
      <c r="Z39" s="196">
        <f>IF($Y39="n/a","",_xlfn.IFERROR(COUNTIF($Y$2:$Y39,"="&amp;Y39),""))</f>
      </c>
      <c r="AA39" s="196">
        <f>COUNTIF($X$2:X38,"&lt;"&amp;X39)</f>
        <v>0</v>
      </c>
      <c r="AB39" s="206">
        <f t="shared" si="23"/>
        <v>0</v>
      </c>
      <c r="AC39" s="212">
        <f t="shared" si="25"/>
        <v>0</v>
      </c>
    </row>
    <row r="40" spans="1:29" ht="12">
      <c r="A40" s="347">
        <v>171</v>
      </c>
      <c r="B40" s="490" t="s">
        <v>250</v>
      </c>
      <c r="C40" s="490" t="str">
        <f t="shared" si="12"/>
        <v>ian combes</v>
      </c>
      <c r="D40" s="8" t="s">
        <v>215</v>
      </c>
      <c r="E40" s="8" t="s">
        <v>251</v>
      </c>
      <c r="F40" s="17" t="s">
        <v>359</v>
      </c>
      <c r="G40" s="491">
        <f t="shared" si="18"/>
        <v>0.002359074074074074</v>
      </c>
      <c r="H40" s="248">
        <f t="shared" si="17"/>
      </c>
      <c r="I40" s="248">
        <f t="shared" si="17"/>
      </c>
      <c r="J40" s="248">
        <f t="shared" si="17"/>
      </c>
      <c r="K40" s="248">
        <f t="shared" si="17"/>
      </c>
      <c r="L40" s="248">
        <f t="shared" si="17"/>
      </c>
      <c r="M40" s="248">
        <f t="shared" si="17"/>
      </c>
      <c r="N40" s="248">
        <f t="shared" si="17"/>
      </c>
      <c r="O40" s="248">
        <f t="shared" si="17"/>
      </c>
      <c r="P40" s="248">
        <f t="shared" si="17"/>
      </c>
      <c r="Q40" s="248">
        <f t="shared" si="17"/>
      </c>
      <c r="R40" s="248">
        <f t="shared" si="17"/>
      </c>
      <c r="S40" s="212">
        <f t="shared" si="19"/>
        <v>0</v>
      </c>
      <c r="T40" s="12">
        <f t="shared" si="24"/>
        <v>0</v>
      </c>
      <c r="U40" s="155">
        <f t="shared" si="20"/>
      </c>
      <c r="V40" s="209"/>
      <c r="W40" s="104"/>
      <c r="X40" s="433" t="str">
        <f t="shared" si="21"/>
        <v>n/a</v>
      </c>
      <c r="Y40" s="196" t="str">
        <f t="shared" si="22"/>
        <v>n/a</v>
      </c>
      <c r="Z40" s="196">
        <f>IF($Y40="n/a","",_xlfn.IFERROR(COUNTIF($Y$2:$Y40,"="&amp;Y40),""))</f>
      </c>
      <c r="AA40" s="196">
        <f>COUNTIF($X$2:X39,"&lt;"&amp;X40)</f>
        <v>0</v>
      </c>
      <c r="AB40" s="206">
        <f t="shared" si="23"/>
        <v>0</v>
      </c>
      <c r="AC40" s="212">
        <f t="shared" si="25"/>
        <v>0</v>
      </c>
    </row>
    <row r="41" spans="1:29" ht="12">
      <c r="A41" s="347">
        <v>76</v>
      </c>
      <c r="B41" s="490" t="s">
        <v>226</v>
      </c>
      <c r="C41" s="490" t="str">
        <f t="shared" si="12"/>
        <v>ralph thompson</v>
      </c>
      <c r="D41" s="8" t="s">
        <v>215</v>
      </c>
      <c r="E41" s="8" t="s">
        <v>227</v>
      </c>
      <c r="F41" s="17" t="s">
        <v>362</v>
      </c>
      <c r="G41" s="491">
        <f t="shared" si="18"/>
        <v>0.0023717708333333334</v>
      </c>
      <c r="H41" s="248">
        <f t="shared" si="17"/>
      </c>
      <c r="I41" s="248">
        <f t="shared" si="17"/>
      </c>
      <c r="J41" s="248">
        <f t="shared" si="17"/>
      </c>
      <c r="K41" s="248">
        <f t="shared" si="17"/>
      </c>
      <c r="L41" s="248">
        <f t="shared" si="17"/>
      </c>
      <c r="M41" s="248">
        <f t="shared" si="17"/>
      </c>
      <c r="N41" s="248">
        <f t="shared" si="17"/>
      </c>
      <c r="O41" s="248">
        <f t="shared" si="17"/>
      </c>
      <c r="P41" s="248">
        <f t="shared" si="17"/>
      </c>
      <c r="Q41" s="248">
        <f t="shared" si="17"/>
      </c>
      <c r="R41" s="248">
        <f t="shared" si="17"/>
      </c>
      <c r="S41" s="212">
        <f t="shared" si="19"/>
        <v>0</v>
      </c>
      <c r="T41" s="12">
        <f t="shared" si="24"/>
        <v>0</v>
      </c>
      <c r="U41" s="155">
        <f t="shared" si="20"/>
      </c>
      <c r="V41" s="209"/>
      <c r="W41" s="104"/>
      <c r="X41" s="433" t="str">
        <f t="shared" si="21"/>
        <v>n/a</v>
      </c>
      <c r="Y41" s="196" t="str">
        <f t="shared" si="22"/>
        <v>n/a</v>
      </c>
      <c r="Z41" s="196">
        <f>IF($Y41="n/a","",_xlfn.IFERROR(COUNTIF($Y$2:$Y41,"="&amp;Y41),""))</f>
      </c>
      <c r="AA41" s="196">
        <f>COUNTIF($X$2:X40,"&lt;"&amp;X41)</f>
        <v>0</v>
      </c>
      <c r="AB41" s="206">
        <f t="shared" si="23"/>
        <v>0</v>
      </c>
      <c r="AC41" s="212">
        <f t="shared" si="25"/>
        <v>0</v>
      </c>
    </row>
    <row r="42" spans="1:29" ht="12">
      <c r="A42" s="347">
        <v>35</v>
      </c>
      <c r="B42" s="490" t="s">
        <v>302</v>
      </c>
      <c r="C42" s="490" t="str">
        <f t="shared" si="12"/>
        <v>keith monaghan</v>
      </c>
      <c r="D42" s="8" t="s">
        <v>215</v>
      </c>
      <c r="E42" s="8" t="s">
        <v>303</v>
      </c>
      <c r="F42" s="17" t="s">
        <v>349</v>
      </c>
      <c r="G42" s="491">
        <f t="shared" si="18"/>
        <v>0.0023759722222222225</v>
      </c>
      <c r="H42" s="248">
        <f aca="true" t="shared" si="26" ref="H42:R56">IF($D42=H$1,$S42,"")</f>
      </c>
      <c r="I42" s="248">
        <f t="shared" si="26"/>
      </c>
      <c r="J42" s="248">
        <f t="shared" si="26"/>
      </c>
      <c r="K42" s="248">
        <f t="shared" si="26"/>
      </c>
      <c r="L42" s="248">
        <f t="shared" si="26"/>
      </c>
      <c r="M42" s="248">
        <f t="shared" si="26"/>
      </c>
      <c r="N42" s="248">
        <f t="shared" si="26"/>
      </c>
      <c r="O42" s="248">
        <f t="shared" si="26"/>
      </c>
      <c r="P42" s="248">
        <f t="shared" si="26"/>
      </c>
      <c r="Q42" s="248">
        <f t="shared" si="26"/>
      </c>
      <c r="R42" s="248">
        <f t="shared" si="26"/>
      </c>
      <c r="S42" s="212">
        <f t="shared" si="19"/>
        <v>0</v>
      </c>
      <c r="T42" s="12">
        <f t="shared" si="24"/>
        <v>0</v>
      </c>
      <c r="U42" s="155">
        <f t="shared" si="20"/>
      </c>
      <c r="V42" s="209"/>
      <c r="W42" s="104"/>
      <c r="X42" s="433" t="str">
        <f t="shared" si="21"/>
        <v>n/a</v>
      </c>
      <c r="Y42" s="196" t="str">
        <f t="shared" si="22"/>
        <v>n/a</v>
      </c>
      <c r="Z42" s="196">
        <f>IF($Y42="n/a","",_xlfn.IFERROR(COUNTIF($Y$2:$Y42,"="&amp;Y42),""))</f>
      </c>
      <c r="AA42" s="196">
        <f>COUNTIF($X$2:X41,"&lt;"&amp;X42)</f>
        <v>0</v>
      </c>
      <c r="AB42" s="206">
        <f t="shared" si="23"/>
        <v>0</v>
      </c>
      <c r="AC42" s="212">
        <f t="shared" si="25"/>
        <v>0</v>
      </c>
    </row>
    <row r="43" spans="1:29" ht="12">
      <c r="A43" s="347">
        <v>24</v>
      </c>
      <c r="B43" s="490" t="s">
        <v>224</v>
      </c>
      <c r="C43" s="490" t="str">
        <f t="shared" si="12"/>
        <v>russell maxwell</v>
      </c>
      <c r="D43" s="8" t="s">
        <v>215</v>
      </c>
      <c r="E43" s="8" t="s">
        <v>225</v>
      </c>
      <c r="F43" s="17" t="s">
        <v>364</v>
      </c>
      <c r="G43" s="491">
        <f t="shared" si="18"/>
        <v>0.0023846412037037035</v>
      </c>
      <c r="H43" s="248">
        <f t="shared" si="26"/>
      </c>
      <c r="I43" s="248">
        <f t="shared" si="26"/>
      </c>
      <c r="J43" s="248">
        <f t="shared" si="26"/>
      </c>
      <c r="K43" s="248">
        <f t="shared" si="26"/>
      </c>
      <c r="L43" s="248">
        <f t="shared" si="26"/>
      </c>
      <c r="M43" s="248">
        <f t="shared" si="26"/>
      </c>
      <c r="N43" s="248">
        <f t="shared" si="26"/>
      </c>
      <c r="O43" s="248">
        <f t="shared" si="26"/>
      </c>
      <c r="P43" s="248">
        <f t="shared" si="26"/>
      </c>
      <c r="Q43" s="248">
        <f t="shared" si="26"/>
      </c>
      <c r="R43" s="248">
        <f t="shared" si="26"/>
      </c>
      <c r="S43" s="212">
        <f t="shared" si="19"/>
        <v>0</v>
      </c>
      <c r="T43" s="12">
        <f t="shared" si="24"/>
        <v>0</v>
      </c>
      <c r="U43" s="155">
        <f t="shared" si="20"/>
      </c>
      <c r="V43" s="209"/>
      <c r="W43" s="104"/>
      <c r="X43" s="433" t="str">
        <f t="shared" si="21"/>
        <v>n/a</v>
      </c>
      <c r="Y43" s="196" t="str">
        <f t="shared" si="22"/>
        <v>n/a</v>
      </c>
      <c r="Z43" s="196">
        <f>IF($Y43="n/a","",_xlfn.IFERROR(COUNTIF($Y$2:$Y43,"="&amp;Y43),""))</f>
      </c>
      <c r="AA43" s="196">
        <f>COUNTIF($X$2:X42,"&lt;"&amp;X43)</f>
        <v>0</v>
      </c>
      <c r="AB43" s="206">
        <f t="shared" si="23"/>
        <v>0</v>
      </c>
      <c r="AC43" s="212">
        <f t="shared" si="25"/>
        <v>0</v>
      </c>
    </row>
    <row r="44" spans="1:29" ht="12">
      <c r="A44" s="404">
        <v>55</v>
      </c>
      <c r="B44" s="527" t="s">
        <v>298</v>
      </c>
      <c r="C44" s="527" t="str">
        <f t="shared" si="12"/>
        <v>kutay dal</v>
      </c>
      <c r="D44" s="406" t="s">
        <v>3</v>
      </c>
      <c r="E44" s="406" t="s">
        <v>299</v>
      </c>
      <c r="F44" s="528" t="s">
        <v>353</v>
      </c>
      <c r="G44" s="529">
        <f t="shared" si="18"/>
        <v>0.0023892824074074077</v>
      </c>
      <c r="H44" s="408">
        <f t="shared" si="26"/>
      </c>
      <c r="I44" s="408">
        <f t="shared" si="26"/>
      </c>
      <c r="J44" s="408">
        <f t="shared" si="26"/>
      </c>
      <c r="K44" s="408">
        <f t="shared" si="26"/>
      </c>
      <c r="L44" s="408">
        <f t="shared" si="26"/>
      </c>
      <c r="M44" s="408">
        <f t="shared" si="26"/>
      </c>
      <c r="N44" s="408">
        <f t="shared" si="26"/>
      </c>
      <c r="O44" s="408">
        <f t="shared" si="26"/>
      </c>
      <c r="P44" s="408">
        <f t="shared" si="26"/>
      </c>
      <c r="Q44" s="408">
        <f t="shared" si="26"/>
      </c>
      <c r="R44" s="408">
        <f t="shared" si="26"/>
        <v>100</v>
      </c>
      <c r="S44" s="212">
        <f t="shared" si="19"/>
        <v>100</v>
      </c>
      <c r="T44" s="406">
        <f t="shared" si="24"/>
        <v>0</v>
      </c>
      <c r="U44" s="416">
        <f t="shared" si="20"/>
        <v>181.203</v>
      </c>
      <c r="V44" s="417">
        <f>(($G44*86400)-U44)</f>
        <v>25.231000000000023</v>
      </c>
      <c r="W44" s="530">
        <f>IF(V44&lt;=0,10,IF(V44&lt;1,5,IF(V44&lt;2,0,IF(V44&lt;3,-5,-10))))</f>
        <v>-10</v>
      </c>
      <c r="X44" s="433">
        <f t="shared" si="21"/>
        <v>1</v>
      </c>
      <c r="Y44" s="196">
        <f t="shared" si="22"/>
        <v>1</v>
      </c>
      <c r="Z44" s="196">
        <f>IF($Y44="n/a","",_xlfn.IFERROR(COUNTIF($Y$2:$Y44,"="&amp;Y44),""))</f>
        <v>1</v>
      </c>
      <c r="AA44" s="196">
        <f>COUNTIF($X$2:X43,"&lt;"&amp;X44)</f>
        <v>0</v>
      </c>
      <c r="AB44" s="206">
        <f t="shared" si="23"/>
        <v>100</v>
      </c>
      <c r="AC44" s="212">
        <f t="shared" si="25"/>
        <v>90</v>
      </c>
    </row>
    <row r="45" spans="1:29" ht="12">
      <c r="A45" s="276">
        <v>205</v>
      </c>
      <c r="B45" s="537" t="s">
        <v>208</v>
      </c>
      <c r="C45" s="537" t="str">
        <f t="shared" si="12"/>
        <v>john reid</v>
      </c>
      <c r="D45" s="515" t="s">
        <v>51</v>
      </c>
      <c r="E45" s="515" t="s">
        <v>279</v>
      </c>
      <c r="F45" s="290" t="s">
        <v>358</v>
      </c>
      <c r="G45" s="538">
        <f t="shared" si="18"/>
        <v>0.0023997453703703707</v>
      </c>
      <c r="H45" s="274">
        <f t="shared" si="26"/>
      </c>
      <c r="I45" s="274">
        <f t="shared" si="26"/>
      </c>
      <c r="J45" s="274">
        <f t="shared" si="26"/>
      </c>
      <c r="K45" s="274">
        <f t="shared" si="26"/>
      </c>
      <c r="L45" s="274">
        <f t="shared" si="26"/>
        <v>75</v>
      </c>
      <c r="M45" s="274">
        <f t="shared" si="26"/>
      </c>
      <c r="N45" s="274">
        <f t="shared" si="26"/>
      </c>
      <c r="O45" s="274">
        <f t="shared" si="26"/>
      </c>
      <c r="P45" s="274">
        <f t="shared" si="26"/>
      </c>
      <c r="Q45" s="274">
        <f t="shared" si="26"/>
      </c>
      <c r="R45" s="274">
        <f t="shared" si="26"/>
      </c>
      <c r="S45" s="212">
        <f t="shared" si="19"/>
        <v>75</v>
      </c>
      <c r="T45" s="515">
        <f t="shared" si="24"/>
        <v>-60</v>
      </c>
      <c r="U45" s="277">
        <f t="shared" si="20"/>
        <v>175.98399999999998</v>
      </c>
      <c r="V45" s="278">
        <f>(($G45*86400)-U45)</f>
        <v>31.354000000000042</v>
      </c>
      <c r="W45" s="156">
        <f>IF(V45&lt;=0,10,IF(V45&lt;1,5,IF(V45&lt;2,0,IF(V45&lt;3,-5,-10))))</f>
        <v>-10</v>
      </c>
      <c r="X45" s="433">
        <f t="shared" si="21"/>
        <v>4</v>
      </c>
      <c r="Y45" s="196">
        <f t="shared" si="22"/>
        <v>7</v>
      </c>
      <c r="Z45" s="196">
        <f>IF($Y45="n/a","",_xlfn.IFERROR(COUNTIF($Y$2:$Y45,"="&amp;Y45),""))</f>
        <v>2</v>
      </c>
      <c r="AA45" s="196">
        <f>COUNTIF($X$2:X44,"&lt;"&amp;X45)</f>
        <v>8</v>
      </c>
      <c r="AB45" s="206">
        <f t="shared" si="23"/>
        <v>15</v>
      </c>
      <c r="AC45" s="212">
        <f t="shared" si="25"/>
        <v>5</v>
      </c>
    </row>
    <row r="46" spans="1:29" ht="12">
      <c r="A46" s="347">
        <v>44</v>
      </c>
      <c r="B46" s="490" t="s">
        <v>300</v>
      </c>
      <c r="C46" s="490" t="str">
        <f t="shared" si="12"/>
        <v>gregory unger</v>
      </c>
      <c r="D46" s="8" t="s">
        <v>215</v>
      </c>
      <c r="E46" s="8" t="s">
        <v>301</v>
      </c>
      <c r="F46" s="17" t="s">
        <v>356</v>
      </c>
      <c r="G46" s="491">
        <f t="shared" si="18"/>
        <v>0.0024376388888888885</v>
      </c>
      <c r="H46" s="248">
        <f t="shared" si="26"/>
      </c>
      <c r="I46" s="248">
        <f t="shared" si="26"/>
      </c>
      <c r="J46" s="248">
        <f t="shared" si="26"/>
      </c>
      <c r="K46" s="248">
        <f t="shared" si="26"/>
      </c>
      <c r="L46" s="248">
        <f t="shared" si="26"/>
      </c>
      <c r="M46" s="248">
        <f t="shared" si="26"/>
      </c>
      <c r="N46" s="248">
        <f t="shared" si="26"/>
      </c>
      <c r="O46" s="248">
        <f t="shared" si="26"/>
      </c>
      <c r="P46" s="248">
        <f t="shared" si="26"/>
      </c>
      <c r="Q46" s="248">
        <f t="shared" si="26"/>
      </c>
      <c r="R46" s="248">
        <f t="shared" si="26"/>
      </c>
      <c r="S46" s="212">
        <f t="shared" si="19"/>
        <v>0</v>
      </c>
      <c r="T46" s="12">
        <f t="shared" si="24"/>
        <v>0</v>
      </c>
      <c r="U46" s="155">
        <f t="shared" si="20"/>
      </c>
      <c r="V46" s="209"/>
      <c r="W46" s="104"/>
      <c r="X46" s="433" t="str">
        <f t="shared" si="21"/>
        <v>n/a</v>
      </c>
      <c r="Y46" s="196" t="str">
        <f t="shared" si="22"/>
        <v>n/a</v>
      </c>
      <c r="Z46" s="196">
        <f>IF($Y46="n/a","",_xlfn.IFERROR(COUNTIF($Y$2:$Y46,"="&amp;Y46),""))</f>
      </c>
      <c r="AA46" s="196">
        <f>COUNTIF($X$2:X45,"&lt;"&amp;X46)</f>
        <v>0</v>
      </c>
      <c r="AB46" s="206">
        <f t="shared" si="23"/>
        <v>0</v>
      </c>
      <c r="AC46" s="212">
        <f t="shared" si="25"/>
        <v>0</v>
      </c>
    </row>
    <row r="47" spans="1:29" ht="12">
      <c r="A47" s="404">
        <v>65</v>
      </c>
      <c r="B47" s="527" t="s">
        <v>308</v>
      </c>
      <c r="C47" s="527" t="str">
        <f t="shared" si="12"/>
        <v>daryl ervine</v>
      </c>
      <c r="D47" s="406" t="s">
        <v>3</v>
      </c>
      <c r="E47" s="406" t="s">
        <v>309</v>
      </c>
      <c r="F47" s="528" t="s">
        <v>354</v>
      </c>
      <c r="G47" s="529">
        <f t="shared" si="18"/>
        <v>0.00246818287037037</v>
      </c>
      <c r="H47" s="408">
        <f t="shared" si="26"/>
      </c>
      <c r="I47" s="408">
        <f t="shared" si="26"/>
      </c>
      <c r="J47" s="408">
        <f t="shared" si="26"/>
      </c>
      <c r="K47" s="408">
        <f t="shared" si="26"/>
      </c>
      <c r="L47" s="408">
        <f t="shared" si="26"/>
      </c>
      <c r="M47" s="408">
        <f t="shared" si="26"/>
      </c>
      <c r="N47" s="408">
        <f t="shared" si="26"/>
      </c>
      <c r="O47" s="408">
        <f t="shared" si="26"/>
      </c>
      <c r="P47" s="408">
        <f t="shared" si="26"/>
      </c>
      <c r="Q47" s="408">
        <f t="shared" si="26"/>
      </c>
      <c r="R47" s="408">
        <f t="shared" si="26"/>
        <v>75</v>
      </c>
      <c r="S47" s="212">
        <f t="shared" si="19"/>
        <v>75</v>
      </c>
      <c r="T47" s="406">
        <f t="shared" si="24"/>
        <v>0</v>
      </c>
      <c r="U47" s="416">
        <f t="shared" si="20"/>
        <v>181.203</v>
      </c>
      <c r="V47" s="417">
        <f>(($G47*86400)-U47)</f>
        <v>32.04799999999997</v>
      </c>
      <c r="W47" s="530">
        <f>IF(V47&lt;=0,10,IF(V47&lt;1,5,IF(V47&lt;2,0,IF(V47&lt;3,-5,-10))))</f>
        <v>-10</v>
      </c>
      <c r="X47" s="433">
        <f t="shared" si="21"/>
        <v>1</v>
      </c>
      <c r="Y47" s="196">
        <f t="shared" si="22"/>
        <v>1</v>
      </c>
      <c r="Z47" s="196">
        <f>IF($Y47="n/a","",_xlfn.IFERROR(COUNTIF($Y$2:$Y47,"="&amp;Y47),""))</f>
        <v>2</v>
      </c>
      <c r="AA47" s="196">
        <f>COUNTIF($X$2:X46,"&lt;"&amp;X47)</f>
        <v>0</v>
      </c>
      <c r="AB47" s="206">
        <f t="shared" si="23"/>
        <v>75</v>
      </c>
      <c r="AC47" s="212">
        <f t="shared" si="25"/>
        <v>65</v>
      </c>
    </row>
    <row r="48" spans="1:29" ht="12">
      <c r="A48" s="347">
        <v>19</v>
      </c>
      <c r="B48" s="490" t="s">
        <v>290</v>
      </c>
      <c r="C48" s="490" t="str">
        <f t="shared" si="12"/>
        <v>ajith perera</v>
      </c>
      <c r="D48" s="8" t="s">
        <v>217</v>
      </c>
      <c r="E48" s="8" t="s">
        <v>291</v>
      </c>
      <c r="F48" s="17" t="s">
        <v>361</v>
      </c>
      <c r="G48" s="491">
        <f t="shared" si="18"/>
        <v>0.002509490740740741</v>
      </c>
      <c r="H48" s="248">
        <f t="shared" si="26"/>
      </c>
      <c r="I48" s="248">
        <f t="shared" si="26"/>
      </c>
      <c r="J48" s="248">
        <f t="shared" si="26"/>
      </c>
      <c r="K48" s="248">
        <f t="shared" si="26"/>
      </c>
      <c r="L48" s="248">
        <f t="shared" si="26"/>
      </c>
      <c r="M48" s="248">
        <f t="shared" si="26"/>
      </c>
      <c r="N48" s="248">
        <f t="shared" si="26"/>
      </c>
      <c r="O48" s="248">
        <f t="shared" si="26"/>
      </c>
      <c r="P48" s="248">
        <f t="shared" si="26"/>
      </c>
      <c r="Q48" s="248">
        <f t="shared" si="26"/>
      </c>
      <c r="R48" s="248">
        <f t="shared" si="26"/>
      </c>
      <c r="S48" s="212">
        <f t="shared" si="19"/>
        <v>0</v>
      </c>
      <c r="T48" s="12">
        <f t="shared" si="24"/>
        <v>0</v>
      </c>
      <c r="U48" s="155">
        <f t="shared" si="20"/>
      </c>
      <c r="V48" s="209"/>
      <c r="W48" s="104"/>
      <c r="X48" s="433" t="str">
        <f t="shared" si="21"/>
        <v>n/a</v>
      </c>
      <c r="Y48" s="196" t="str">
        <f t="shared" si="22"/>
        <v>n/a</v>
      </c>
      <c r="Z48" s="196">
        <f>IF($Y48="n/a","",_xlfn.IFERROR(COUNTIF($Y$2:$Y48,"="&amp;Y48),""))</f>
      </c>
      <c r="AA48" s="196">
        <f>COUNTIF($X$2:X47,"&lt;"&amp;X48)</f>
        <v>0</v>
      </c>
      <c r="AB48" s="206">
        <f t="shared" si="23"/>
        <v>0</v>
      </c>
      <c r="AC48" s="212">
        <f t="shared" si="25"/>
        <v>0</v>
      </c>
    </row>
    <row r="49" spans="1:29" ht="12">
      <c r="A49" s="107">
        <v>77</v>
      </c>
      <c r="B49" s="545" t="s">
        <v>212</v>
      </c>
      <c r="C49" s="545" t="str">
        <f t="shared" si="12"/>
        <v>simeon ouzas</v>
      </c>
      <c r="D49" s="48" t="s">
        <v>5</v>
      </c>
      <c r="E49" s="48" t="s">
        <v>277</v>
      </c>
      <c r="F49" s="546" t="s">
        <v>365</v>
      </c>
      <c r="G49" s="547">
        <f t="shared" si="18"/>
        <v>0.0025254050925925925</v>
      </c>
      <c r="H49" s="250">
        <f t="shared" si="26"/>
      </c>
      <c r="I49" s="250">
        <f t="shared" si="26"/>
      </c>
      <c r="J49" s="250">
        <f t="shared" si="26"/>
      </c>
      <c r="K49" s="250">
        <f t="shared" si="26"/>
      </c>
      <c r="L49" s="250">
        <f t="shared" si="26"/>
      </c>
      <c r="M49" s="250">
        <f t="shared" si="26"/>
      </c>
      <c r="N49" s="250">
        <f t="shared" si="26"/>
      </c>
      <c r="O49" s="250">
        <f t="shared" si="26"/>
      </c>
      <c r="P49" s="250">
        <f t="shared" si="26"/>
      </c>
      <c r="Q49" s="250">
        <f t="shared" si="26"/>
        <v>60</v>
      </c>
      <c r="R49" s="250">
        <f t="shared" si="26"/>
      </c>
      <c r="S49" s="212">
        <f t="shared" si="19"/>
        <v>60</v>
      </c>
      <c r="T49" s="48">
        <f t="shared" si="24"/>
        <v>0</v>
      </c>
      <c r="U49" s="215">
        <f t="shared" si="20"/>
        <v>178.985</v>
      </c>
      <c r="V49" s="210">
        <f>(($G49*86400)-U49)</f>
        <v>39.20999999999998</v>
      </c>
      <c r="W49" s="108">
        <f>IF(V49&lt;=0,10,IF(V49&lt;1,5,IF(V49&lt;2,0,IF(V49&lt;3,-5,-10))))</f>
        <v>-10</v>
      </c>
      <c r="X49" s="433">
        <f t="shared" si="21"/>
        <v>1</v>
      </c>
      <c r="Y49" s="196">
        <f t="shared" si="22"/>
        <v>2</v>
      </c>
      <c r="Z49" s="196">
        <f>IF($Y49="n/a","",_xlfn.IFERROR(COUNTIF($Y$2:$Y49,"="&amp;Y49),""))</f>
        <v>3</v>
      </c>
      <c r="AA49" s="196">
        <f>COUNTIF($X$2:X48,"&lt;"&amp;X49)</f>
        <v>0</v>
      </c>
      <c r="AB49" s="206">
        <f t="shared" si="23"/>
        <v>60</v>
      </c>
      <c r="AC49" s="212">
        <f t="shared" si="25"/>
        <v>50</v>
      </c>
    </row>
    <row r="50" spans="1:29" ht="12">
      <c r="A50" s="347">
        <v>56</v>
      </c>
      <c r="B50" s="490" t="s">
        <v>296</v>
      </c>
      <c r="C50" s="490" t="str">
        <f t="shared" si="12"/>
        <v>tim van duyl</v>
      </c>
      <c r="D50" s="8" t="s">
        <v>217</v>
      </c>
      <c r="E50" s="8" t="s">
        <v>297</v>
      </c>
      <c r="F50" s="17" t="s">
        <v>363</v>
      </c>
      <c r="G50" s="491">
        <f t="shared" si="18"/>
        <v>0.0025382175925925928</v>
      </c>
      <c r="H50" s="248">
        <f t="shared" si="26"/>
      </c>
      <c r="I50" s="248">
        <f t="shared" si="26"/>
      </c>
      <c r="J50" s="248">
        <f t="shared" si="26"/>
      </c>
      <c r="K50" s="248">
        <f t="shared" si="26"/>
      </c>
      <c r="L50" s="248">
        <f t="shared" si="26"/>
      </c>
      <c r="M50" s="248">
        <f t="shared" si="26"/>
      </c>
      <c r="N50" s="248">
        <f t="shared" si="26"/>
      </c>
      <c r="O50" s="248">
        <f t="shared" si="26"/>
      </c>
      <c r="P50" s="248">
        <f t="shared" si="26"/>
      </c>
      <c r="Q50" s="248">
        <f t="shared" si="26"/>
      </c>
      <c r="R50" s="248">
        <f t="shared" si="26"/>
      </c>
      <c r="S50" s="212">
        <f t="shared" si="19"/>
        <v>0</v>
      </c>
      <c r="T50" s="12">
        <f t="shared" si="24"/>
        <v>0</v>
      </c>
      <c r="U50" s="155">
        <f t="shared" si="20"/>
      </c>
      <c r="V50" s="209"/>
      <c r="W50" s="104"/>
      <c r="X50" s="433" t="str">
        <f t="shared" si="21"/>
        <v>n/a</v>
      </c>
      <c r="Y50" s="196" t="str">
        <f t="shared" si="22"/>
        <v>n/a</v>
      </c>
      <c r="Z50" s="196">
        <f>IF($Y50="n/a","",_xlfn.IFERROR(COUNTIF($Y$2:$Y50,"="&amp;Y50),""))</f>
      </c>
      <c r="AA50" s="196">
        <f>COUNTIF($X$2:X49,"&lt;"&amp;X50)</f>
        <v>0</v>
      </c>
      <c r="AB50" s="206">
        <f t="shared" si="23"/>
        <v>0</v>
      </c>
      <c r="AC50" s="212">
        <f t="shared" si="25"/>
        <v>0</v>
      </c>
    </row>
    <row r="51" spans="1:29" ht="12">
      <c r="A51" s="347">
        <v>173</v>
      </c>
      <c r="B51" s="490" t="s">
        <v>310</v>
      </c>
      <c r="C51" s="490" t="str">
        <f t="shared" si="12"/>
        <v>geoff pitt</v>
      </c>
      <c r="D51" s="8" t="s">
        <v>217</v>
      </c>
      <c r="E51" s="8" t="s">
        <v>311</v>
      </c>
      <c r="F51" s="17" t="s">
        <v>360</v>
      </c>
      <c r="G51" s="491">
        <f t="shared" si="18"/>
        <v>0.002585474537037037</v>
      </c>
      <c r="H51" s="248">
        <f t="shared" si="26"/>
      </c>
      <c r="I51" s="248">
        <f t="shared" si="26"/>
      </c>
      <c r="J51" s="248">
        <f t="shared" si="26"/>
      </c>
      <c r="K51" s="248">
        <f t="shared" si="26"/>
      </c>
      <c r="L51" s="248">
        <f t="shared" si="26"/>
      </c>
      <c r="M51" s="248">
        <f t="shared" si="26"/>
      </c>
      <c r="N51" s="248">
        <f t="shared" si="26"/>
      </c>
      <c r="O51" s="248">
        <f t="shared" si="26"/>
      </c>
      <c r="P51" s="248">
        <f t="shared" si="26"/>
      </c>
      <c r="Q51" s="248">
        <f t="shared" si="26"/>
      </c>
      <c r="R51" s="248">
        <f t="shared" si="26"/>
      </c>
      <c r="S51" s="212">
        <f t="shared" si="19"/>
        <v>0</v>
      </c>
      <c r="T51" s="12">
        <f aca="true" t="shared" si="27" ref="T51:T56">AB51-S51</f>
        <v>0</v>
      </c>
      <c r="U51" s="155">
        <f t="shared" si="20"/>
      </c>
      <c r="V51" s="209"/>
      <c r="W51" s="104"/>
      <c r="X51" s="433" t="str">
        <f t="shared" si="21"/>
        <v>n/a</v>
      </c>
      <c r="Y51" s="196" t="str">
        <f t="shared" si="22"/>
        <v>n/a</v>
      </c>
      <c r="Z51" s="196">
        <f>IF($Y51="n/a","",_xlfn.IFERROR(COUNTIF($Y$2:$Y51,"="&amp;Y51),""))</f>
      </c>
      <c r="AA51" s="196">
        <f>COUNTIF($X$2:X36,"&lt;"&amp;X51)</f>
        <v>0</v>
      </c>
      <c r="AB51" s="206">
        <f t="shared" si="23"/>
        <v>0</v>
      </c>
      <c r="AC51" s="212">
        <f aca="true" t="shared" si="28" ref="AC51:AC56">(S51+T51+W51)</f>
        <v>0</v>
      </c>
    </row>
    <row r="52" spans="1:29" ht="12">
      <c r="A52" s="347">
        <v>231</v>
      </c>
      <c r="B52" s="490" t="s">
        <v>325</v>
      </c>
      <c r="C52" s="490" t="str">
        <f t="shared" si="12"/>
        <v>ben oldfield </v>
      </c>
      <c r="D52" s="8" t="s">
        <v>215</v>
      </c>
      <c r="E52" s="8" t="s">
        <v>366</v>
      </c>
      <c r="F52" s="17" t="s">
        <v>326</v>
      </c>
      <c r="G52" s="491" t="e">
        <f t="shared" si="18"/>
        <v>#VALUE!</v>
      </c>
      <c r="H52" s="248">
        <f t="shared" si="26"/>
      </c>
      <c r="I52" s="248">
        <f t="shared" si="26"/>
      </c>
      <c r="J52" s="248">
        <f t="shared" si="26"/>
      </c>
      <c r="K52" s="248">
        <f t="shared" si="26"/>
      </c>
      <c r="L52" s="248">
        <f t="shared" si="26"/>
      </c>
      <c r="M52" s="248">
        <f t="shared" si="26"/>
      </c>
      <c r="N52" s="248">
        <f t="shared" si="26"/>
      </c>
      <c r="O52" s="248">
        <f t="shared" si="26"/>
      </c>
      <c r="P52" s="248">
        <f t="shared" si="26"/>
      </c>
      <c r="Q52" s="248">
        <f t="shared" si="26"/>
      </c>
      <c r="R52" s="248">
        <f t="shared" si="26"/>
      </c>
      <c r="S52" s="212">
        <f t="shared" si="19"/>
        <v>0</v>
      </c>
      <c r="T52" s="12">
        <f t="shared" si="27"/>
        <v>0</v>
      </c>
      <c r="U52" s="155">
        <f t="shared" si="20"/>
      </c>
      <c r="V52" s="209"/>
      <c r="W52" s="104"/>
      <c r="X52" s="433" t="str">
        <f t="shared" si="21"/>
        <v>n/a</v>
      </c>
      <c r="Y52" s="196" t="str">
        <f t="shared" si="22"/>
        <v>n/a</v>
      </c>
      <c r="Z52" s="196">
        <f>IF($Y52="n/a","",_xlfn.IFERROR(COUNTIF($Y$2:$Y52,"="&amp;Y52),""))</f>
      </c>
      <c r="AA52" s="196">
        <f>COUNTIF($X$2:X51,"&lt;"&amp;X52)</f>
        <v>0</v>
      </c>
      <c r="AB52" s="206">
        <f t="shared" si="23"/>
        <v>0</v>
      </c>
      <c r="AC52" s="212">
        <f t="shared" si="28"/>
        <v>0</v>
      </c>
    </row>
    <row r="53" spans="1:29" ht="12">
      <c r="A53" s="347">
        <v>160</v>
      </c>
      <c r="B53" s="1" t="s">
        <v>292</v>
      </c>
      <c r="C53" s="490" t="str">
        <f t="shared" si="12"/>
        <v>sean byers</v>
      </c>
      <c r="D53" s="1" t="s">
        <v>215</v>
      </c>
      <c r="E53" s="17" t="s">
        <v>293</v>
      </c>
      <c r="F53" s="492" t="s">
        <v>366</v>
      </c>
      <c r="G53" s="491" t="e">
        <f t="shared" si="18"/>
        <v>#VALUE!</v>
      </c>
      <c r="H53" s="248">
        <f t="shared" si="26"/>
      </c>
      <c r="I53" s="248">
        <f t="shared" si="26"/>
      </c>
      <c r="J53" s="248">
        <f t="shared" si="26"/>
      </c>
      <c r="K53" s="248">
        <f t="shared" si="26"/>
      </c>
      <c r="L53" s="248">
        <f t="shared" si="26"/>
      </c>
      <c r="M53" s="248">
        <f t="shared" si="26"/>
      </c>
      <c r="N53" s="248">
        <f t="shared" si="26"/>
      </c>
      <c r="O53" s="248">
        <f t="shared" si="26"/>
      </c>
      <c r="P53" s="248">
        <f t="shared" si="26"/>
      </c>
      <c r="Q53" s="248">
        <f t="shared" si="26"/>
      </c>
      <c r="R53" s="248">
        <f t="shared" si="26"/>
      </c>
      <c r="S53" s="212">
        <f t="shared" si="19"/>
        <v>0</v>
      </c>
      <c r="T53" s="12">
        <f t="shared" si="27"/>
        <v>0</v>
      </c>
      <c r="U53" s="155">
        <f t="shared" si="20"/>
      </c>
      <c r="V53" s="209"/>
      <c r="W53" s="104"/>
      <c r="X53" s="433" t="str">
        <f t="shared" si="21"/>
        <v>n/a</v>
      </c>
      <c r="Y53" s="196" t="str">
        <f t="shared" si="22"/>
        <v>n/a</v>
      </c>
      <c r="Z53" s="196">
        <f>IF($Y53="n/a","",_xlfn.IFERROR(COUNTIF($Y$2:$Y53,"="&amp;Y53),""))</f>
      </c>
      <c r="AA53" s="196">
        <f>COUNTIF($X$2:X52,"&lt;"&amp;X53)</f>
        <v>0</v>
      </c>
      <c r="AB53" s="206">
        <f t="shared" si="23"/>
        <v>0</v>
      </c>
      <c r="AC53" s="212">
        <f t="shared" si="28"/>
        <v>0</v>
      </c>
    </row>
    <row r="54" spans="1:29" ht="12">
      <c r="A54" s="347">
        <v>22</v>
      </c>
      <c r="B54" s="1" t="s">
        <v>304</v>
      </c>
      <c r="C54" s="490" t="str">
        <f t="shared" si="12"/>
        <v>peter whitaker</v>
      </c>
      <c r="D54" s="1" t="s">
        <v>217</v>
      </c>
      <c r="E54" s="17" t="s">
        <v>305</v>
      </c>
      <c r="F54" s="492" t="s">
        <v>366</v>
      </c>
      <c r="G54" s="491" t="e">
        <f t="shared" si="18"/>
        <v>#VALUE!</v>
      </c>
      <c r="H54" s="248">
        <f t="shared" si="26"/>
      </c>
      <c r="I54" s="248">
        <f t="shared" si="26"/>
      </c>
      <c r="J54" s="248">
        <f t="shared" si="26"/>
      </c>
      <c r="K54" s="248">
        <f t="shared" si="26"/>
      </c>
      <c r="L54" s="248">
        <f t="shared" si="26"/>
      </c>
      <c r="M54" s="248">
        <f t="shared" si="26"/>
      </c>
      <c r="N54" s="248">
        <f t="shared" si="26"/>
      </c>
      <c r="O54" s="248">
        <f t="shared" si="26"/>
      </c>
      <c r="P54" s="248">
        <f t="shared" si="26"/>
      </c>
      <c r="Q54" s="248">
        <f t="shared" si="26"/>
      </c>
      <c r="R54" s="248">
        <f t="shared" si="26"/>
      </c>
      <c r="S54" s="212">
        <f t="shared" si="19"/>
        <v>0</v>
      </c>
      <c r="T54" s="12">
        <f t="shared" si="27"/>
        <v>0</v>
      </c>
      <c r="U54" s="155">
        <f t="shared" si="20"/>
      </c>
      <c r="V54" s="209"/>
      <c r="W54" s="104"/>
      <c r="X54" s="433" t="str">
        <f t="shared" si="21"/>
        <v>n/a</v>
      </c>
      <c r="Y54" s="196" t="str">
        <f t="shared" si="22"/>
        <v>n/a</v>
      </c>
      <c r="Z54" s="196">
        <f>IF($Y54="n/a","",_xlfn.IFERROR(COUNTIF($Y$2:$Y54,"="&amp;Y54),""))</f>
      </c>
      <c r="AA54" s="196">
        <f>COUNTIF($X$2:X53,"&lt;"&amp;X54)</f>
        <v>0</v>
      </c>
      <c r="AB54" s="206">
        <f t="shared" si="23"/>
        <v>0</v>
      </c>
      <c r="AC54" s="212">
        <f t="shared" si="28"/>
        <v>0</v>
      </c>
    </row>
    <row r="55" spans="1:29" ht="12">
      <c r="A55" s="347">
        <v>63</v>
      </c>
      <c r="B55" s="1" t="s">
        <v>306</v>
      </c>
      <c r="C55" s="490" t="str">
        <f t="shared" si="12"/>
        <v>jamie collins</v>
      </c>
      <c r="D55" s="1" t="s">
        <v>215</v>
      </c>
      <c r="E55" s="17" t="s">
        <v>307</v>
      </c>
      <c r="F55" s="492" t="s">
        <v>366</v>
      </c>
      <c r="G55" s="491" t="e">
        <f t="shared" si="18"/>
        <v>#VALUE!</v>
      </c>
      <c r="H55" s="248">
        <f t="shared" si="26"/>
      </c>
      <c r="I55" s="248">
        <f t="shared" si="26"/>
      </c>
      <c r="J55" s="248">
        <f t="shared" si="26"/>
      </c>
      <c r="K55" s="248">
        <f t="shared" si="26"/>
      </c>
      <c r="L55" s="248">
        <f t="shared" si="26"/>
      </c>
      <c r="M55" s="248">
        <f t="shared" si="26"/>
      </c>
      <c r="N55" s="248">
        <f t="shared" si="26"/>
      </c>
      <c r="O55" s="248">
        <f t="shared" si="26"/>
      </c>
      <c r="P55" s="248">
        <f t="shared" si="26"/>
      </c>
      <c r="Q55" s="248">
        <f t="shared" si="26"/>
      </c>
      <c r="R55" s="248">
        <f t="shared" si="26"/>
      </c>
      <c r="S55" s="212">
        <f t="shared" si="19"/>
        <v>0</v>
      </c>
      <c r="T55" s="12">
        <f t="shared" si="27"/>
        <v>0</v>
      </c>
      <c r="U55" s="155">
        <f t="shared" si="20"/>
      </c>
      <c r="V55" s="209"/>
      <c r="W55" s="104"/>
      <c r="X55" s="433" t="str">
        <f t="shared" si="21"/>
        <v>n/a</v>
      </c>
      <c r="Y55" s="196" t="str">
        <f t="shared" si="22"/>
        <v>n/a</v>
      </c>
      <c r="Z55" s="196">
        <f>IF($Y55="n/a","",_xlfn.IFERROR(COUNTIF($Y$2:$Y55,"="&amp;Y55),""))</f>
      </c>
      <c r="AA55" s="196">
        <f>COUNTIF($X$2:X54,"&lt;"&amp;X55)</f>
        <v>0</v>
      </c>
      <c r="AB55" s="206">
        <f t="shared" si="23"/>
        <v>0</v>
      </c>
      <c r="AC55" s="212">
        <f t="shared" si="28"/>
        <v>0</v>
      </c>
    </row>
    <row r="56" spans="1:29" ht="12.75" thickBot="1">
      <c r="A56" s="361">
        <v>131</v>
      </c>
      <c r="B56" s="272" t="s">
        <v>312</v>
      </c>
      <c r="C56" s="490" t="str">
        <f t="shared" si="12"/>
        <v>joe kovacic</v>
      </c>
      <c r="D56" s="272" t="s">
        <v>215</v>
      </c>
      <c r="E56" s="493" t="s">
        <v>313</v>
      </c>
      <c r="F56" s="494" t="s">
        <v>366</v>
      </c>
      <c r="G56" s="495" t="e">
        <f t="shared" si="18"/>
        <v>#VALUE!</v>
      </c>
      <c r="H56" s="285">
        <f t="shared" si="26"/>
      </c>
      <c r="I56" s="285">
        <f t="shared" si="26"/>
      </c>
      <c r="J56" s="285">
        <f t="shared" si="26"/>
      </c>
      <c r="K56" s="285">
        <f t="shared" si="26"/>
      </c>
      <c r="L56" s="285">
        <f t="shared" si="26"/>
      </c>
      <c r="M56" s="285">
        <f t="shared" si="26"/>
      </c>
      <c r="N56" s="285">
        <f t="shared" si="26"/>
      </c>
      <c r="O56" s="285">
        <f t="shared" si="26"/>
      </c>
      <c r="P56" s="285">
        <f t="shared" si="26"/>
      </c>
      <c r="Q56" s="285">
        <f t="shared" si="26"/>
      </c>
      <c r="R56" s="285">
        <f t="shared" si="26"/>
      </c>
      <c r="S56" s="213">
        <f t="shared" si="19"/>
        <v>0</v>
      </c>
      <c r="T56" s="473">
        <f t="shared" si="27"/>
        <v>0</v>
      </c>
      <c r="U56" s="162">
        <f t="shared" si="20"/>
      </c>
      <c r="V56" s="271"/>
      <c r="W56" s="176"/>
      <c r="X56" s="434" t="str">
        <f t="shared" si="21"/>
        <v>n/a</v>
      </c>
      <c r="Y56" s="435" t="str">
        <f t="shared" si="22"/>
        <v>n/a</v>
      </c>
      <c r="Z56" s="435">
        <f>IF($Y56="n/a","",_xlfn.IFERROR(COUNTIF($Y$2:$Y56,"="&amp;Y56),""))</f>
      </c>
      <c r="AA56" s="435">
        <f>COUNTIF($X$2:X55,"&lt;"&amp;X56)</f>
        <v>0</v>
      </c>
      <c r="AB56" s="436">
        <f t="shared" si="23"/>
        <v>0</v>
      </c>
      <c r="AC56" s="213">
        <f t="shared" si="28"/>
        <v>0</v>
      </c>
    </row>
    <row r="57" spans="5:29" ht="12.75" thickBot="1">
      <c r="E57" s="175"/>
      <c r="H57" s="496">
        <f aca="true" t="shared" si="29" ref="H57:S57">COUNT(H2:H56)</f>
        <v>0</v>
      </c>
      <c r="I57" s="497">
        <f t="shared" si="29"/>
        <v>5</v>
      </c>
      <c r="J57" s="497">
        <f t="shared" si="29"/>
        <v>3</v>
      </c>
      <c r="K57" s="497">
        <f t="shared" si="29"/>
        <v>2</v>
      </c>
      <c r="L57" s="497">
        <f t="shared" si="29"/>
        <v>2</v>
      </c>
      <c r="M57" s="497">
        <f t="shared" si="29"/>
        <v>2</v>
      </c>
      <c r="N57" s="497">
        <f t="shared" si="29"/>
        <v>0</v>
      </c>
      <c r="O57" s="497">
        <f t="shared" si="29"/>
        <v>0</v>
      </c>
      <c r="P57" s="497">
        <f t="shared" si="29"/>
        <v>3</v>
      </c>
      <c r="Q57" s="497">
        <f t="shared" si="29"/>
        <v>3</v>
      </c>
      <c r="R57" s="497">
        <f t="shared" si="29"/>
        <v>2</v>
      </c>
      <c r="S57" s="498">
        <f t="shared" si="29"/>
        <v>55</v>
      </c>
      <c r="T57" s="216"/>
      <c r="U57" s="216"/>
      <c r="V57" s="204"/>
      <c r="W57" s="216"/>
      <c r="X57" s="216"/>
      <c r="Y57" s="216"/>
      <c r="Z57" s="216"/>
      <c r="AA57" s="216"/>
      <c r="AB57" s="216"/>
      <c r="AC57" s="216"/>
    </row>
    <row r="58" spans="20:29" ht="12">
      <c r="T58" s="8"/>
      <c r="U58" s="1"/>
      <c r="V58" s="204"/>
      <c r="W58" s="1"/>
      <c r="X58" s="8"/>
      <c r="Y58" s="8"/>
      <c r="Z58" s="8"/>
      <c r="AA58" s="8"/>
      <c r="AB58" s="8"/>
      <c r="AC58" s="1"/>
    </row>
    <row r="59" spans="2:28" ht="12">
      <c r="B59" s="2"/>
      <c r="C59" s="2"/>
      <c r="D59" s="111"/>
      <c r="T59" s="111"/>
      <c r="X59" s="111"/>
      <c r="Y59" s="111"/>
      <c r="Z59" s="111"/>
      <c r="AA59" s="111"/>
      <c r="AB59" s="111"/>
    </row>
  </sheetData>
  <sheetProtection/>
  <mergeCells count="1">
    <mergeCell ref="AE1:AH1"/>
  </mergeCells>
  <printOptions/>
  <pageMargins left="0.7" right="0.7" top="0.75" bottom="0.75" header="0.3" footer="0.3"/>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AG33"/>
  <sheetViews>
    <sheetView zoomScale="90" zoomScaleNormal="90" zoomScalePageLayoutView="0" workbookViewId="0" topLeftCell="A1">
      <selection activeCell="A2" sqref="A2"/>
    </sheetView>
  </sheetViews>
  <sheetFormatPr defaultColWidth="8.8515625" defaultRowHeight="12.75"/>
  <cols>
    <col min="1" max="1" width="7.8515625" style="109" customWidth="1"/>
    <col min="2" max="2" width="22.00390625" style="110" customWidth="1"/>
    <col min="3" max="3" width="20.8515625" style="110" hidden="1" customWidth="1"/>
    <col min="4" max="4" width="9.28125" style="110" customWidth="1"/>
    <col min="5" max="5" width="10.421875" style="110" customWidth="1"/>
    <col min="6" max="6" width="14.28125" style="110" bestFit="1" customWidth="1"/>
    <col min="7" max="7" width="9.57421875" style="110" customWidth="1"/>
    <col min="8" max="18" width="7.7109375" style="110" customWidth="1"/>
    <col min="19" max="19" width="6.7109375" style="110" customWidth="1"/>
    <col min="20" max="20" width="7.8515625" style="110" customWidth="1"/>
    <col min="21" max="21" width="8.28125" style="0" customWidth="1"/>
    <col min="22" max="22" width="8.8515625" style="154" customWidth="1"/>
    <col min="23" max="23" width="8.8515625" style="0" customWidth="1"/>
    <col min="24" max="24" width="14.28125" style="110" hidden="1" customWidth="1"/>
    <col min="25" max="27" width="8.8515625" style="110" hidden="1" customWidth="1"/>
    <col min="28" max="28" width="11.421875" style="110" hidden="1" customWidth="1"/>
    <col min="29" max="29" width="8.8515625" style="0" customWidth="1"/>
    <col min="30" max="30" width="7.00390625" style="110" customWidth="1"/>
    <col min="31" max="31" width="8.8515625" style="110" customWidth="1"/>
    <col min="32" max="32" width="21.28125" style="110" customWidth="1"/>
    <col min="33" max="33" width="9.57421875" style="110" customWidth="1"/>
    <col min="34" max="16384" width="8.8515625" style="110" customWidth="1"/>
  </cols>
  <sheetData>
    <row r="1" spans="1:33" s="109" customFormat="1" ht="42.75" customHeight="1" thickBot="1">
      <c r="A1" s="179" t="s">
        <v>23</v>
      </c>
      <c r="B1" s="180" t="s">
        <v>1</v>
      </c>
      <c r="C1" s="181" t="s">
        <v>1</v>
      </c>
      <c r="D1" s="181" t="s">
        <v>2</v>
      </c>
      <c r="E1" s="182" t="s">
        <v>24</v>
      </c>
      <c r="F1" s="183"/>
      <c r="G1" s="183" t="s">
        <v>25</v>
      </c>
      <c r="H1" s="184" t="s">
        <v>14</v>
      </c>
      <c r="I1" s="185" t="s">
        <v>13</v>
      </c>
      <c r="J1" s="186" t="s">
        <v>16</v>
      </c>
      <c r="K1" s="187" t="s">
        <v>52</v>
      </c>
      <c r="L1" s="188" t="s">
        <v>51</v>
      </c>
      <c r="M1" s="189" t="s">
        <v>21</v>
      </c>
      <c r="N1" s="190" t="s">
        <v>22</v>
      </c>
      <c r="O1" s="191" t="s">
        <v>50</v>
      </c>
      <c r="P1" s="192" t="s">
        <v>4</v>
      </c>
      <c r="Q1" s="193" t="s">
        <v>5</v>
      </c>
      <c r="R1" s="194" t="s">
        <v>3</v>
      </c>
      <c r="S1" s="323" t="s">
        <v>64</v>
      </c>
      <c r="T1" s="202" t="s">
        <v>95</v>
      </c>
      <c r="U1" s="202" t="s">
        <v>60</v>
      </c>
      <c r="V1" s="205" t="s">
        <v>61</v>
      </c>
      <c r="W1" s="203" t="s">
        <v>63</v>
      </c>
      <c r="X1" s="324" t="s">
        <v>93</v>
      </c>
      <c r="Y1" s="324" t="s">
        <v>2</v>
      </c>
      <c r="Z1" s="324" t="s">
        <v>97</v>
      </c>
      <c r="AA1" s="324" t="s">
        <v>89</v>
      </c>
      <c r="AB1" s="324" t="s">
        <v>94</v>
      </c>
      <c r="AC1" s="342" t="s">
        <v>98</v>
      </c>
      <c r="AE1" s="661" t="s">
        <v>108</v>
      </c>
      <c r="AF1" s="662"/>
      <c r="AG1" s="663"/>
    </row>
    <row r="2" spans="1:33" ht="12.75">
      <c r="A2" s="555">
        <v>211</v>
      </c>
      <c r="B2" s="556" t="s">
        <v>379</v>
      </c>
      <c r="C2" s="556" t="str">
        <f>LOWER(B2)</f>
        <v>brendan beavis</v>
      </c>
      <c r="D2" s="557" t="s">
        <v>14</v>
      </c>
      <c r="E2" s="558" t="s">
        <v>380</v>
      </c>
      <c r="F2" s="559" t="s">
        <v>164</v>
      </c>
      <c r="G2" s="557" t="s">
        <v>175</v>
      </c>
      <c r="H2" s="560">
        <f>IF($D2=H$1,$S2,"")</f>
        <v>100</v>
      </c>
      <c r="I2" s="560">
        <f aca="true" t="shared" si="0" ref="I2:R2">IF($D2=I$1,$S2,"")</f>
      </c>
      <c r="J2" s="560">
        <f t="shared" si="0"/>
      </c>
      <c r="K2" s="560">
        <f t="shared" si="0"/>
      </c>
      <c r="L2" s="560">
        <f t="shared" si="0"/>
      </c>
      <c r="M2" s="560">
        <f t="shared" si="0"/>
      </c>
      <c r="N2" s="560">
        <f t="shared" si="0"/>
      </c>
      <c r="O2" s="560">
        <f t="shared" si="0"/>
      </c>
      <c r="P2" s="560">
        <f t="shared" si="0"/>
      </c>
      <c r="Q2" s="560">
        <f t="shared" si="0"/>
      </c>
      <c r="R2" s="560">
        <f t="shared" si="0"/>
      </c>
      <c r="S2" s="168">
        <f aca="true" t="shared" si="1" ref="S2:S30">_xlfn.IFERROR(VLOOKUP($Z2,Points2018,2,0),0)</f>
        <v>100</v>
      </c>
      <c r="T2" s="555">
        <f aca="true" t="shared" si="2" ref="T2:T30">AB2-S2</f>
        <v>0</v>
      </c>
      <c r="U2" s="561">
        <f aca="true" t="shared" si="3" ref="U2:U30">_xlfn.IFERROR(VLOOKUP(D2,BenchmarksRd4,3,0)*86400,"")</f>
        <v>83.047</v>
      </c>
      <c r="V2" s="562">
        <f aca="true" t="shared" si="4" ref="V2:V8">(($E2*86400)-U2)</f>
        <v>-1.394999999999996</v>
      </c>
      <c r="W2" s="583">
        <f aca="true" t="shared" si="5" ref="W2:W8">IF(V2&lt;=0,10,IF(V2&lt;1,5,IF(V2&lt;2,0,IF(V2&lt;3,-5,-10))))</f>
        <v>10</v>
      </c>
      <c r="X2" s="217">
        <f aca="true" t="shared" si="6" ref="X2:X30">_xlfn.IFERROR(VLOOKUP(D2,Class2018,4,0),"n/a")</f>
        <v>7</v>
      </c>
      <c r="Y2" s="217">
        <f aca="true" t="shared" si="7" ref="Y2:Y30">_xlfn.IFERROR(VLOOKUP(D2,Class2018,3,0),"n/a")</f>
        <v>11</v>
      </c>
      <c r="Z2" s="217">
        <f>IF($Y2="n/a","",_xlfn.IFERROR(COUNTIF($Y$2:$Y2,"="&amp;Y2),""))</f>
        <v>1</v>
      </c>
      <c r="AA2" s="217">
        <f>COUNTIF($X1:X$2,"&lt;"&amp;X2)</f>
        <v>0</v>
      </c>
      <c r="AB2" s="247">
        <f aca="true" t="shared" si="8" ref="AB2:AB30">IF($Y2="n/a",0,_xlfn.IFERROR(VLOOKUP(Z2+AA2,Points2018,2,0),15))</f>
        <v>100</v>
      </c>
      <c r="AC2" s="474">
        <f aca="true" t="shared" si="9" ref="AC2:AC30">(S2+T2+W2)</f>
        <v>110</v>
      </c>
      <c r="AE2" s="251" t="s">
        <v>3</v>
      </c>
      <c r="AF2" s="420" t="s">
        <v>76</v>
      </c>
      <c r="AG2" s="421">
        <v>0.0011239236111111111</v>
      </c>
    </row>
    <row r="3" spans="1:33" ht="12.75">
      <c r="A3" s="112">
        <v>724</v>
      </c>
      <c r="B3" s="65" t="s">
        <v>381</v>
      </c>
      <c r="C3" s="65" t="str">
        <f aca="true" t="shared" si="10" ref="C3:C30">LOWER(B3)</f>
        <v>dean monik</v>
      </c>
      <c r="D3" s="69" t="s">
        <v>13</v>
      </c>
      <c r="E3" s="318" t="s">
        <v>382</v>
      </c>
      <c r="F3" s="65"/>
      <c r="G3" s="69" t="s">
        <v>86</v>
      </c>
      <c r="H3" s="71">
        <f aca="true" t="shared" si="11" ref="H3:R30">IF($D3=H$1,$S3,"")</f>
      </c>
      <c r="I3" s="71">
        <f t="shared" si="11"/>
        <v>100</v>
      </c>
      <c r="J3" s="71">
        <f t="shared" si="11"/>
      </c>
      <c r="K3" s="71">
        <f t="shared" si="11"/>
      </c>
      <c r="L3" s="71">
        <f t="shared" si="11"/>
      </c>
      <c r="M3" s="71">
        <f t="shared" si="11"/>
      </c>
      <c r="N3" s="71">
        <f t="shared" si="11"/>
      </c>
      <c r="O3" s="71">
        <f t="shared" si="11"/>
      </c>
      <c r="P3" s="71">
        <f t="shared" si="11"/>
      </c>
      <c r="Q3" s="71">
        <f t="shared" si="11"/>
      </c>
      <c r="R3" s="71">
        <f t="shared" si="11"/>
      </c>
      <c r="S3" s="103">
        <f t="shared" si="1"/>
        <v>100</v>
      </c>
      <c r="T3" s="112">
        <f t="shared" si="2"/>
        <v>0</v>
      </c>
      <c r="U3" s="262">
        <f t="shared" si="3"/>
        <v>84.987</v>
      </c>
      <c r="V3" s="207">
        <f t="shared" si="4"/>
        <v>2.059999999999988</v>
      </c>
      <c r="W3" s="113">
        <f t="shared" si="5"/>
        <v>-5</v>
      </c>
      <c r="X3" s="196">
        <f t="shared" si="6"/>
        <v>6</v>
      </c>
      <c r="Y3" s="196">
        <f t="shared" si="7"/>
        <v>10</v>
      </c>
      <c r="Z3" s="196">
        <f>IF($Y3="n/a","",_xlfn.IFERROR(COUNTIF($Y$2:$Y3,"="&amp;Y3),""))</f>
        <v>1</v>
      </c>
      <c r="AA3" s="196">
        <f>COUNTIF($X2:X$2,"&lt;"&amp;X3)</f>
        <v>0</v>
      </c>
      <c r="AB3" s="206">
        <f t="shared" si="8"/>
        <v>100</v>
      </c>
      <c r="AC3" s="345">
        <f t="shared" si="9"/>
        <v>95</v>
      </c>
      <c r="AE3" s="252" t="s">
        <v>5</v>
      </c>
      <c r="AF3" s="346" t="s">
        <v>423</v>
      </c>
      <c r="AG3" s="550">
        <v>0.001100925925925926</v>
      </c>
    </row>
    <row r="4" spans="1:33" ht="12.75">
      <c r="A4" s="382">
        <v>6</v>
      </c>
      <c r="B4" s="383" t="s">
        <v>106</v>
      </c>
      <c r="C4" s="383" t="str">
        <f t="shared" si="10"/>
        <v>russell garner</v>
      </c>
      <c r="D4" s="384" t="s">
        <v>16</v>
      </c>
      <c r="E4" s="570" t="s">
        <v>383</v>
      </c>
      <c r="F4" s="571" t="s">
        <v>164</v>
      </c>
      <c r="G4" s="384" t="s">
        <v>55</v>
      </c>
      <c r="H4" s="386">
        <f t="shared" si="11"/>
      </c>
      <c r="I4" s="386">
        <f t="shared" si="11"/>
      </c>
      <c r="J4" s="386">
        <f t="shared" si="11"/>
        <v>100</v>
      </c>
      <c r="K4" s="386">
        <f t="shared" si="11"/>
      </c>
      <c r="L4" s="386">
        <f t="shared" si="11"/>
      </c>
      <c r="M4" s="386">
        <f t="shared" si="11"/>
      </c>
      <c r="N4" s="386">
        <f t="shared" si="11"/>
      </c>
      <c r="O4" s="386">
        <f t="shared" si="11"/>
      </c>
      <c r="P4" s="386">
        <f t="shared" si="11"/>
      </c>
      <c r="Q4" s="386">
        <f t="shared" si="11"/>
      </c>
      <c r="R4" s="386">
        <f t="shared" si="11"/>
      </c>
      <c r="S4" s="103">
        <f t="shared" si="1"/>
        <v>100</v>
      </c>
      <c r="T4" s="382">
        <f>AB4-S4</f>
        <v>0</v>
      </c>
      <c r="U4" s="387">
        <f t="shared" si="3"/>
        <v>88.531</v>
      </c>
      <c r="V4" s="388">
        <f t="shared" si="4"/>
        <v>-0.9910000000000139</v>
      </c>
      <c r="W4" s="526">
        <f t="shared" si="5"/>
        <v>10</v>
      </c>
      <c r="X4" s="196">
        <f t="shared" si="6"/>
        <v>5</v>
      </c>
      <c r="Y4" s="196">
        <f t="shared" si="7"/>
        <v>9</v>
      </c>
      <c r="Z4" s="196">
        <f>IF($Y4="n/a","",_xlfn.IFERROR(COUNTIF($Y$2:$Y4,"="&amp;Y4),""))</f>
        <v>1</v>
      </c>
      <c r="AA4" s="196">
        <f>COUNTIF($X$2:X3,"&lt;"&amp;X4)</f>
        <v>0</v>
      </c>
      <c r="AB4" s="206">
        <f t="shared" si="8"/>
        <v>100</v>
      </c>
      <c r="AC4" s="345">
        <f t="shared" si="9"/>
        <v>110</v>
      </c>
      <c r="AE4" s="253" t="s">
        <v>4</v>
      </c>
      <c r="AF4" s="141" t="s">
        <v>424</v>
      </c>
      <c r="AG4" s="348">
        <v>0.0010593518518518517</v>
      </c>
    </row>
    <row r="5" spans="1:33" ht="12.75">
      <c r="A5" s="112">
        <v>124</v>
      </c>
      <c r="B5" s="65" t="s">
        <v>83</v>
      </c>
      <c r="C5" s="65" t="str">
        <f t="shared" si="10"/>
        <v>ray monik</v>
      </c>
      <c r="D5" s="69" t="s">
        <v>13</v>
      </c>
      <c r="E5" s="318" t="s">
        <v>384</v>
      </c>
      <c r="F5" s="65"/>
      <c r="G5" s="69" t="s">
        <v>385</v>
      </c>
      <c r="H5" s="71">
        <f t="shared" si="11"/>
      </c>
      <c r="I5" s="71">
        <f t="shared" si="11"/>
        <v>75</v>
      </c>
      <c r="J5" s="71">
        <f t="shared" si="11"/>
      </c>
      <c r="K5" s="71">
        <f t="shared" si="11"/>
      </c>
      <c r="L5" s="71">
        <f t="shared" si="11"/>
      </c>
      <c r="M5" s="71">
        <f t="shared" si="11"/>
      </c>
      <c r="N5" s="71">
        <f t="shared" si="11"/>
      </c>
      <c r="O5" s="71">
        <f t="shared" si="11"/>
      </c>
      <c r="P5" s="71">
        <f t="shared" si="11"/>
      </c>
      <c r="Q5" s="71">
        <f t="shared" si="11"/>
      </c>
      <c r="R5" s="71">
        <f t="shared" si="11"/>
      </c>
      <c r="S5" s="103">
        <f t="shared" si="1"/>
        <v>75</v>
      </c>
      <c r="T5" s="112">
        <f>AB5-S5</f>
        <v>-15</v>
      </c>
      <c r="U5" s="262">
        <f t="shared" si="3"/>
        <v>84.987</v>
      </c>
      <c r="V5" s="207">
        <f t="shared" si="4"/>
        <v>4.161000000000001</v>
      </c>
      <c r="W5" s="113">
        <f t="shared" si="5"/>
        <v>-10</v>
      </c>
      <c r="X5" s="196">
        <f t="shared" si="6"/>
        <v>6</v>
      </c>
      <c r="Y5" s="196">
        <f t="shared" si="7"/>
        <v>10</v>
      </c>
      <c r="Z5" s="196">
        <f>IF($Y5="n/a","",_xlfn.IFERROR(COUNTIF($Y$2:$Y5,"="&amp;Y5),""))</f>
        <v>2</v>
      </c>
      <c r="AA5" s="196">
        <f>COUNTIF($X$2:X4,"&lt;"&amp;X5)</f>
        <v>1</v>
      </c>
      <c r="AB5" s="206">
        <f t="shared" si="8"/>
        <v>60</v>
      </c>
      <c r="AC5" s="345">
        <f t="shared" si="9"/>
        <v>50</v>
      </c>
      <c r="AE5" s="254" t="s">
        <v>50</v>
      </c>
      <c r="AF5" s="134" t="s">
        <v>74</v>
      </c>
      <c r="AG5" s="349">
        <v>0.0010619444444444444</v>
      </c>
    </row>
    <row r="6" spans="1:33" ht="12.75">
      <c r="A6" s="103">
        <v>88</v>
      </c>
      <c r="B6" s="114" t="s">
        <v>74</v>
      </c>
      <c r="C6" s="394" t="str">
        <f t="shared" si="10"/>
        <v>randy stagno navarra</v>
      </c>
      <c r="D6" s="344" t="s">
        <v>52</v>
      </c>
      <c r="E6" s="569" t="s">
        <v>386</v>
      </c>
      <c r="F6" s="172" t="s">
        <v>164</v>
      </c>
      <c r="G6" s="344" t="s">
        <v>175</v>
      </c>
      <c r="H6" s="396">
        <f t="shared" si="11"/>
      </c>
      <c r="I6" s="396">
        <f t="shared" si="11"/>
      </c>
      <c r="J6" s="396">
        <f t="shared" si="11"/>
      </c>
      <c r="K6" s="396">
        <f t="shared" si="11"/>
        <v>100</v>
      </c>
      <c r="L6" s="396">
        <f t="shared" si="11"/>
      </c>
      <c r="M6" s="396">
        <f t="shared" si="11"/>
      </c>
      <c r="N6" s="396">
        <f t="shared" si="11"/>
      </c>
      <c r="O6" s="396">
        <f t="shared" si="11"/>
      </c>
      <c r="P6" s="396">
        <f t="shared" si="11"/>
      </c>
      <c r="Q6" s="396">
        <f t="shared" si="11"/>
      </c>
      <c r="R6" s="396">
        <f t="shared" si="11"/>
      </c>
      <c r="S6" s="103">
        <f t="shared" si="1"/>
        <v>100</v>
      </c>
      <c r="T6" s="103">
        <f t="shared" si="2"/>
        <v>0</v>
      </c>
      <c r="U6" s="397">
        <f t="shared" si="3"/>
        <v>90.99000000000001</v>
      </c>
      <c r="V6" s="398">
        <f t="shared" si="4"/>
        <v>-1.1890000000000072</v>
      </c>
      <c r="W6" s="345">
        <f t="shared" si="5"/>
        <v>10</v>
      </c>
      <c r="X6" s="196">
        <f t="shared" si="6"/>
        <v>4</v>
      </c>
      <c r="Y6" s="196">
        <f t="shared" si="7"/>
        <v>8</v>
      </c>
      <c r="Z6" s="196">
        <f>IF($Y6="n/a","",_xlfn.IFERROR(COUNTIF($Y$2:$Y6,"="&amp;Y6),""))</f>
        <v>1</v>
      </c>
      <c r="AA6" s="196">
        <f>COUNTIF($X$2:X5,"&lt;"&amp;X6)</f>
        <v>0</v>
      </c>
      <c r="AB6" s="206">
        <f t="shared" si="8"/>
        <v>100</v>
      </c>
      <c r="AC6" s="345">
        <f t="shared" si="9"/>
        <v>110</v>
      </c>
      <c r="AE6" s="255" t="s">
        <v>22</v>
      </c>
      <c r="AF6" s="160" t="s">
        <v>76</v>
      </c>
      <c r="AG6" s="350">
        <v>0.0011213541666666665</v>
      </c>
    </row>
    <row r="7" spans="1:33" ht="12.75">
      <c r="A7" s="103">
        <v>50</v>
      </c>
      <c r="B7" s="394" t="s">
        <v>72</v>
      </c>
      <c r="C7" s="394" t="str">
        <f t="shared" si="10"/>
        <v>alan conrad</v>
      </c>
      <c r="D7" s="344" t="s">
        <v>52</v>
      </c>
      <c r="E7" s="572" t="s">
        <v>387</v>
      </c>
      <c r="F7" s="394"/>
      <c r="G7" s="344" t="s">
        <v>55</v>
      </c>
      <c r="H7" s="396">
        <f t="shared" si="11"/>
      </c>
      <c r="I7" s="396">
        <f t="shared" si="11"/>
      </c>
      <c r="J7" s="396">
        <f t="shared" si="11"/>
      </c>
      <c r="K7" s="396">
        <f t="shared" si="11"/>
        <v>75</v>
      </c>
      <c r="L7" s="396">
        <f t="shared" si="11"/>
      </c>
      <c r="M7" s="396">
        <f t="shared" si="11"/>
      </c>
      <c r="N7" s="396">
        <f t="shared" si="11"/>
      </c>
      <c r="O7" s="396">
        <f t="shared" si="11"/>
      </c>
      <c r="P7" s="396">
        <f t="shared" si="11"/>
      </c>
      <c r="Q7" s="396">
        <f t="shared" si="11"/>
      </c>
      <c r="R7" s="396">
        <f t="shared" si="11"/>
      </c>
      <c r="S7" s="103">
        <f t="shared" si="1"/>
        <v>75</v>
      </c>
      <c r="T7" s="103">
        <f t="shared" si="2"/>
        <v>0</v>
      </c>
      <c r="U7" s="397">
        <f t="shared" si="3"/>
        <v>90.99000000000001</v>
      </c>
      <c r="V7" s="398">
        <f t="shared" si="4"/>
        <v>0.3719999999999999</v>
      </c>
      <c r="W7" s="345">
        <f t="shared" si="5"/>
        <v>5</v>
      </c>
      <c r="X7" s="196">
        <f t="shared" si="6"/>
        <v>4</v>
      </c>
      <c r="Y7" s="196">
        <f t="shared" si="7"/>
        <v>8</v>
      </c>
      <c r="Z7" s="196">
        <f>IF($Y7="n/a","",_xlfn.IFERROR(COUNTIF($Y$2:$Y7,"="&amp;Y7),""))</f>
        <v>2</v>
      </c>
      <c r="AA7" s="196">
        <f>COUNTIF($X$2:X6,"&lt;"&amp;X7)</f>
        <v>0</v>
      </c>
      <c r="AB7" s="206">
        <f t="shared" si="8"/>
        <v>75</v>
      </c>
      <c r="AC7" s="345">
        <f t="shared" si="9"/>
        <v>80</v>
      </c>
      <c r="AE7" s="256" t="s">
        <v>21</v>
      </c>
      <c r="AF7" s="44" t="s">
        <v>425</v>
      </c>
      <c r="AG7" s="551">
        <v>0.0010919907407407408</v>
      </c>
    </row>
    <row r="8" spans="1:33" ht="12.75">
      <c r="A8" s="389">
        <v>21</v>
      </c>
      <c r="B8" s="390" t="s">
        <v>88</v>
      </c>
      <c r="C8" s="390" t="str">
        <f t="shared" si="10"/>
        <v>gavin newman</v>
      </c>
      <c r="D8" s="391" t="s">
        <v>51</v>
      </c>
      <c r="E8" s="567" t="s">
        <v>388</v>
      </c>
      <c r="F8" s="568" t="s">
        <v>164</v>
      </c>
      <c r="G8" s="391" t="s">
        <v>175</v>
      </c>
      <c r="H8" s="392">
        <f t="shared" si="11"/>
      </c>
      <c r="I8" s="392">
        <f t="shared" si="11"/>
      </c>
      <c r="J8" s="392">
        <f t="shared" si="11"/>
      </c>
      <c r="K8" s="392">
        <f t="shared" si="11"/>
      </c>
      <c r="L8" s="392">
        <f t="shared" si="11"/>
        <v>100</v>
      </c>
      <c r="M8" s="392">
        <f t="shared" si="11"/>
      </c>
      <c r="N8" s="392">
        <f t="shared" si="11"/>
      </c>
      <c r="O8" s="392">
        <f t="shared" si="11"/>
      </c>
      <c r="P8" s="392">
        <f t="shared" si="11"/>
      </c>
      <c r="Q8" s="392">
        <f t="shared" si="11"/>
      </c>
      <c r="R8" s="392">
        <f t="shared" si="11"/>
      </c>
      <c r="S8" s="103">
        <f t="shared" si="1"/>
        <v>100</v>
      </c>
      <c r="T8" s="389">
        <f>AB8-S8</f>
        <v>0</v>
      </c>
      <c r="U8" s="400">
        <f t="shared" si="3"/>
        <v>91.65199999999999</v>
      </c>
      <c r="V8" s="401">
        <f t="shared" si="4"/>
        <v>-0.20199999999998397</v>
      </c>
      <c r="W8" s="584">
        <f t="shared" si="5"/>
        <v>10</v>
      </c>
      <c r="X8" s="196">
        <f t="shared" si="6"/>
        <v>4</v>
      </c>
      <c r="Y8" s="196">
        <f t="shared" si="7"/>
        <v>7</v>
      </c>
      <c r="Z8" s="196">
        <f>IF($Y8="n/a","",_xlfn.IFERROR(COUNTIF($Y$2:$Y8,"="&amp;Y8),""))</f>
        <v>1</v>
      </c>
      <c r="AA8" s="196">
        <f>COUNTIF($X$2:X7,"&lt;"&amp;X8)</f>
        <v>0</v>
      </c>
      <c r="AB8" s="206">
        <f t="shared" si="8"/>
        <v>100</v>
      </c>
      <c r="AC8" s="345">
        <f>(S8+T8+W8)</f>
        <v>110</v>
      </c>
      <c r="AE8" s="257" t="s">
        <v>51</v>
      </c>
      <c r="AF8" s="351" t="s">
        <v>88</v>
      </c>
      <c r="AG8" s="552">
        <v>0.001060787037037037</v>
      </c>
    </row>
    <row r="9" spans="1:33" ht="12.75">
      <c r="A9" s="409">
        <v>5</v>
      </c>
      <c r="B9" s="135" t="s">
        <v>133</v>
      </c>
      <c r="C9" s="135" t="str">
        <f t="shared" si="10"/>
        <v>david adam</v>
      </c>
      <c r="D9" s="410" t="s">
        <v>50</v>
      </c>
      <c r="E9" s="573" t="s">
        <v>389</v>
      </c>
      <c r="F9" s="135"/>
      <c r="G9" s="410" t="s">
        <v>56</v>
      </c>
      <c r="H9" s="412">
        <f t="shared" si="11"/>
      </c>
      <c r="I9" s="412">
        <f t="shared" si="11"/>
      </c>
      <c r="J9" s="412">
        <f t="shared" si="11"/>
      </c>
      <c r="K9" s="412">
        <f t="shared" si="11"/>
      </c>
      <c r="L9" s="412">
        <f t="shared" si="11"/>
      </c>
      <c r="M9" s="412">
        <f t="shared" si="11"/>
      </c>
      <c r="N9" s="412">
        <f t="shared" si="11"/>
      </c>
      <c r="O9" s="412">
        <f t="shared" si="11"/>
        <v>100</v>
      </c>
      <c r="P9" s="412">
        <f t="shared" si="11"/>
      </c>
      <c r="Q9" s="412">
        <f t="shared" si="11"/>
      </c>
      <c r="R9" s="412">
        <f t="shared" si="11"/>
      </c>
      <c r="S9" s="103">
        <f t="shared" si="1"/>
        <v>100</v>
      </c>
      <c r="T9" s="409">
        <f>AB9-S9</f>
        <v>0</v>
      </c>
      <c r="U9" s="413">
        <f t="shared" si="3"/>
        <v>91.752</v>
      </c>
      <c r="V9" s="414">
        <f aca="true" t="shared" si="12" ref="V9:V26">(($E9*86400)-U9)</f>
        <v>0.555000000000021</v>
      </c>
      <c r="W9" s="585">
        <f aca="true" t="shared" si="13" ref="W9:W26">IF(V9&lt;=0,10,IF(V9&lt;1,5,IF(V9&lt;2,0,IF(V9&lt;3,-5,-10))))</f>
        <v>5</v>
      </c>
      <c r="X9" s="196">
        <f t="shared" si="6"/>
        <v>3</v>
      </c>
      <c r="Y9" s="196">
        <f t="shared" si="7"/>
        <v>6</v>
      </c>
      <c r="Z9" s="196">
        <f>IF($Y9="n/a","",_xlfn.IFERROR(COUNTIF($Y$2:$Y9,"="&amp;Y9),""))</f>
        <v>1</v>
      </c>
      <c r="AA9" s="196">
        <f>COUNTIF($X$2:X8,"&lt;"&amp;X9)</f>
        <v>0</v>
      </c>
      <c r="AB9" s="206">
        <f t="shared" si="8"/>
        <v>100</v>
      </c>
      <c r="AC9" s="345">
        <f>(S9+T9+W9)</f>
        <v>105</v>
      </c>
      <c r="AE9" s="258" t="s">
        <v>52</v>
      </c>
      <c r="AF9" s="352" t="s">
        <v>72</v>
      </c>
      <c r="AG9" s="353">
        <v>0.001053125</v>
      </c>
    </row>
    <row r="10" spans="1:33" ht="12.75">
      <c r="A10" s="347">
        <v>48</v>
      </c>
      <c r="B10" s="1" t="s">
        <v>390</v>
      </c>
      <c r="C10" s="1" t="str">
        <f t="shared" si="10"/>
        <v>justin reynolds</v>
      </c>
      <c r="D10" s="8" t="s">
        <v>26</v>
      </c>
      <c r="E10" s="11" t="s">
        <v>391</v>
      </c>
      <c r="F10" s="1"/>
      <c r="G10" s="8" t="s">
        <v>392</v>
      </c>
      <c r="H10" s="248">
        <f t="shared" si="11"/>
      </c>
      <c r="I10" s="248">
        <f t="shared" si="11"/>
      </c>
      <c r="J10" s="248">
        <f t="shared" si="11"/>
      </c>
      <c r="K10" s="248">
        <f t="shared" si="11"/>
      </c>
      <c r="L10" s="248">
        <f t="shared" si="11"/>
      </c>
      <c r="M10" s="248">
        <f t="shared" si="11"/>
      </c>
      <c r="N10" s="248">
        <f t="shared" si="11"/>
      </c>
      <c r="O10" s="248">
        <f t="shared" si="11"/>
      </c>
      <c r="P10" s="248">
        <f t="shared" si="11"/>
      </c>
      <c r="Q10" s="248">
        <f t="shared" si="11"/>
      </c>
      <c r="R10" s="248">
        <f t="shared" si="11"/>
      </c>
      <c r="S10" s="103">
        <f t="shared" si="1"/>
        <v>0</v>
      </c>
      <c r="T10" s="195">
        <f>AB10-S10</f>
        <v>0</v>
      </c>
      <c r="U10" s="155">
        <f t="shared" si="3"/>
      </c>
      <c r="V10" s="209"/>
      <c r="W10" s="104"/>
      <c r="X10" s="196" t="str">
        <f t="shared" si="6"/>
        <v>n/a</v>
      </c>
      <c r="Y10" s="196" t="str">
        <f t="shared" si="7"/>
        <v>n/a</v>
      </c>
      <c r="Z10" s="196">
        <f>IF($Y10="n/a","",_xlfn.IFERROR(COUNTIF($Y$2:$Y10,"="&amp;Y10),""))</f>
      </c>
      <c r="AA10" s="196">
        <f>COUNTIF($X$2:X9,"&lt;"&amp;X10)</f>
        <v>0</v>
      </c>
      <c r="AB10" s="206">
        <f t="shared" si="8"/>
        <v>0</v>
      </c>
      <c r="AC10" s="345">
        <f>(S10+T10+W10)</f>
        <v>0</v>
      </c>
      <c r="AE10" s="259" t="s">
        <v>16</v>
      </c>
      <c r="AF10" s="354" t="s">
        <v>106</v>
      </c>
      <c r="AG10" s="355">
        <v>0.001024664351851852</v>
      </c>
    </row>
    <row r="11" spans="1:33" ht="12.75">
      <c r="A11" s="574">
        <v>2</v>
      </c>
      <c r="B11" s="575" t="s">
        <v>393</v>
      </c>
      <c r="C11" s="575" t="str">
        <f t="shared" si="10"/>
        <v>matt brogan</v>
      </c>
      <c r="D11" s="576" t="s">
        <v>4</v>
      </c>
      <c r="E11" s="577" t="s">
        <v>394</v>
      </c>
      <c r="F11" s="575"/>
      <c r="G11" s="576" t="s">
        <v>56</v>
      </c>
      <c r="H11" s="578">
        <f t="shared" si="11"/>
      </c>
      <c r="I11" s="578">
        <f t="shared" si="11"/>
      </c>
      <c r="J11" s="578">
        <f t="shared" si="11"/>
      </c>
      <c r="K11" s="578">
        <f t="shared" si="11"/>
      </c>
      <c r="L11" s="578">
        <f t="shared" si="11"/>
      </c>
      <c r="M11" s="578">
        <f t="shared" si="11"/>
      </c>
      <c r="N11" s="578">
        <f t="shared" si="11"/>
      </c>
      <c r="O11" s="578">
        <f t="shared" si="11"/>
      </c>
      <c r="P11" s="578">
        <f t="shared" si="11"/>
        <v>100</v>
      </c>
      <c r="Q11" s="578">
        <f t="shared" si="11"/>
      </c>
      <c r="R11" s="578">
        <f t="shared" si="11"/>
      </c>
      <c r="S11" s="103">
        <f t="shared" si="1"/>
        <v>100</v>
      </c>
      <c r="T11" s="574">
        <f>AB11-S11</f>
        <v>0</v>
      </c>
      <c r="U11" s="581">
        <f t="shared" si="3"/>
        <v>91.52799999999999</v>
      </c>
      <c r="V11" s="579">
        <f t="shared" si="12"/>
        <v>3.535000000000011</v>
      </c>
      <c r="W11" s="586">
        <f t="shared" si="13"/>
        <v>-10</v>
      </c>
      <c r="X11" s="196">
        <f t="shared" si="6"/>
        <v>3</v>
      </c>
      <c r="Y11" s="196">
        <f t="shared" si="7"/>
        <v>5</v>
      </c>
      <c r="Z11" s="196">
        <f>IF($Y11="n/a","",_xlfn.IFERROR(COUNTIF($Y$2:$Y11,"="&amp;Y11),""))</f>
        <v>1</v>
      </c>
      <c r="AA11" s="196">
        <f>COUNTIF($X$2:X10,"&lt;"&amp;X11)</f>
        <v>0</v>
      </c>
      <c r="AB11" s="206">
        <f t="shared" si="8"/>
        <v>100</v>
      </c>
      <c r="AC11" s="345">
        <f>(S11+T11+W11)</f>
        <v>90</v>
      </c>
      <c r="AE11" s="260" t="s">
        <v>13</v>
      </c>
      <c r="AF11" s="356" t="s">
        <v>82</v>
      </c>
      <c r="AG11" s="357">
        <v>0.0009836458333333333</v>
      </c>
    </row>
    <row r="12" spans="1:33" ht="13.5" thickBot="1">
      <c r="A12" s="107">
        <v>177</v>
      </c>
      <c r="B12" s="47" t="s">
        <v>78</v>
      </c>
      <c r="C12" s="47" t="str">
        <f t="shared" si="10"/>
        <v>simeon ouzas</v>
      </c>
      <c r="D12" s="48" t="s">
        <v>5</v>
      </c>
      <c r="E12" s="54" t="s">
        <v>395</v>
      </c>
      <c r="F12" s="47"/>
      <c r="G12" s="48" t="s">
        <v>56</v>
      </c>
      <c r="H12" s="250">
        <f t="shared" si="11"/>
      </c>
      <c r="I12" s="250">
        <f t="shared" si="11"/>
      </c>
      <c r="J12" s="250">
        <f t="shared" si="11"/>
      </c>
      <c r="K12" s="250">
        <f t="shared" si="11"/>
      </c>
      <c r="L12" s="250">
        <f t="shared" si="11"/>
      </c>
      <c r="M12" s="250">
        <f t="shared" si="11"/>
      </c>
      <c r="N12" s="250">
        <f t="shared" si="11"/>
      </c>
      <c r="O12" s="250">
        <f t="shared" si="11"/>
      </c>
      <c r="P12" s="250">
        <f t="shared" si="11"/>
      </c>
      <c r="Q12" s="250">
        <f t="shared" si="11"/>
        <v>100</v>
      </c>
      <c r="R12" s="250">
        <f t="shared" si="11"/>
      </c>
      <c r="S12" s="103">
        <f t="shared" si="1"/>
        <v>100</v>
      </c>
      <c r="T12" s="107">
        <f>AB12-S12</f>
        <v>0</v>
      </c>
      <c r="U12" s="215">
        <f t="shared" si="3"/>
        <v>95.12</v>
      </c>
      <c r="V12" s="210">
        <f t="shared" si="12"/>
        <v>0.6460000000000008</v>
      </c>
      <c r="W12" s="108">
        <f t="shared" si="13"/>
        <v>5</v>
      </c>
      <c r="X12" s="196">
        <f t="shared" si="6"/>
        <v>1</v>
      </c>
      <c r="Y12" s="196">
        <f t="shared" si="7"/>
        <v>2</v>
      </c>
      <c r="Z12" s="196">
        <f>IF($Y12="n/a","",_xlfn.IFERROR(COUNTIF($Y$2:$Y12,"="&amp;Y12),""))</f>
        <v>1</v>
      </c>
      <c r="AA12" s="196">
        <f>COUNTIF($X$2:X11,"&lt;"&amp;X12)</f>
        <v>0</v>
      </c>
      <c r="AB12" s="206">
        <f t="shared" si="8"/>
        <v>100</v>
      </c>
      <c r="AC12" s="345">
        <f>(S12+T12+W12)</f>
        <v>105</v>
      </c>
      <c r="AE12" s="261" t="s">
        <v>14</v>
      </c>
      <c r="AF12" s="553" t="s">
        <v>426</v>
      </c>
      <c r="AG12" s="554">
        <v>0.0009611921296296297</v>
      </c>
    </row>
    <row r="13" spans="1:29" ht="12.75">
      <c r="A13" s="574">
        <v>26</v>
      </c>
      <c r="B13" s="575" t="s">
        <v>76</v>
      </c>
      <c r="C13" s="575" t="str">
        <f t="shared" si="10"/>
        <v>robert downes</v>
      </c>
      <c r="D13" s="576" t="s">
        <v>4</v>
      </c>
      <c r="E13" s="577" t="s">
        <v>396</v>
      </c>
      <c r="F13" s="575"/>
      <c r="G13" s="576" t="s">
        <v>175</v>
      </c>
      <c r="H13" s="578">
        <f t="shared" si="11"/>
      </c>
      <c r="I13" s="578">
        <f t="shared" si="11"/>
      </c>
      <c r="J13" s="578">
        <f t="shared" si="11"/>
      </c>
      <c r="K13" s="578">
        <f t="shared" si="11"/>
      </c>
      <c r="L13" s="578">
        <f t="shared" si="11"/>
      </c>
      <c r="M13" s="578">
        <f t="shared" si="11"/>
      </c>
      <c r="N13" s="578">
        <f t="shared" si="11"/>
      </c>
      <c r="O13" s="578">
        <f t="shared" si="11"/>
      </c>
      <c r="P13" s="578">
        <f t="shared" si="11"/>
        <v>75</v>
      </c>
      <c r="Q13" s="578">
        <f t="shared" si="11"/>
      </c>
      <c r="R13" s="578">
        <f t="shared" si="11"/>
      </c>
      <c r="S13" s="103">
        <f t="shared" si="1"/>
        <v>75</v>
      </c>
      <c r="T13" s="574">
        <f aca="true" t="shared" si="14" ref="T13:T19">AB13-S13</f>
        <v>0</v>
      </c>
      <c r="U13" s="581">
        <f t="shared" si="3"/>
        <v>91.52799999999999</v>
      </c>
      <c r="V13" s="579">
        <f t="shared" si="12"/>
        <v>4.450000000000017</v>
      </c>
      <c r="W13" s="586">
        <f t="shared" si="13"/>
        <v>-10</v>
      </c>
      <c r="X13" s="196">
        <f aca="true" t="shared" si="15" ref="X13:X19">_xlfn.IFERROR(VLOOKUP(D13,Class2018,4,0),"n/a")</f>
        <v>3</v>
      </c>
      <c r="Y13" s="196">
        <f aca="true" t="shared" si="16" ref="Y13:Y19">_xlfn.IFERROR(VLOOKUP(D13,Class2018,3,0),"n/a")</f>
        <v>5</v>
      </c>
      <c r="Z13" s="196">
        <f>IF($Y13="n/a","",_xlfn.IFERROR(COUNTIF($Y$2:$Y13,"="&amp;Y13),""))</f>
        <v>2</v>
      </c>
      <c r="AA13" s="196">
        <f>COUNTIF($X$2:X6,"&lt;"&amp;X13)</f>
        <v>0</v>
      </c>
      <c r="AB13" s="206">
        <f aca="true" t="shared" si="17" ref="AB13:AB19">IF($Y13="n/a",0,_xlfn.IFERROR(VLOOKUP(Z13+AA13,Points2018,2,0),15))</f>
        <v>75</v>
      </c>
      <c r="AC13" s="345">
        <f aca="true" t="shared" si="18" ref="AC13:AC19">(S13+T13+W13)</f>
        <v>65</v>
      </c>
    </row>
    <row r="14" spans="1:29" ht="12">
      <c r="A14" s="107">
        <v>82</v>
      </c>
      <c r="B14" s="56" t="s">
        <v>80</v>
      </c>
      <c r="C14" s="47" t="str">
        <f t="shared" si="10"/>
        <v>steve williamsz</v>
      </c>
      <c r="D14" s="48" t="s">
        <v>5</v>
      </c>
      <c r="E14" s="54" t="s">
        <v>397</v>
      </c>
      <c r="F14" s="47"/>
      <c r="G14" s="48" t="s">
        <v>56</v>
      </c>
      <c r="H14" s="250">
        <f t="shared" si="11"/>
      </c>
      <c r="I14" s="250">
        <f t="shared" si="11"/>
      </c>
      <c r="J14" s="250">
        <f aca="true" t="shared" si="19" ref="H14:R19">IF($D14=J$1,$S14,"")</f>
      </c>
      <c r="K14" s="250">
        <f t="shared" si="19"/>
      </c>
      <c r="L14" s="250">
        <f t="shared" si="19"/>
      </c>
      <c r="M14" s="250">
        <f t="shared" si="19"/>
      </c>
      <c r="N14" s="250">
        <f t="shared" si="19"/>
      </c>
      <c r="O14" s="250">
        <f t="shared" si="19"/>
      </c>
      <c r="P14" s="250">
        <f t="shared" si="19"/>
      </c>
      <c r="Q14" s="250">
        <f t="shared" si="19"/>
        <v>75</v>
      </c>
      <c r="R14" s="250">
        <f t="shared" si="19"/>
      </c>
      <c r="S14" s="103">
        <f t="shared" si="1"/>
        <v>75</v>
      </c>
      <c r="T14" s="107">
        <f t="shared" si="14"/>
        <v>0</v>
      </c>
      <c r="U14" s="215">
        <f t="shared" si="3"/>
        <v>95.12</v>
      </c>
      <c r="V14" s="210">
        <f t="shared" si="12"/>
        <v>0.9269999999999783</v>
      </c>
      <c r="W14" s="108">
        <f t="shared" si="13"/>
        <v>5</v>
      </c>
      <c r="X14" s="196">
        <f t="shared" si="15"/>
        <v>1</v>
      </c>
      <c r="Y14" s="196">
        <f t="shared" si="16"/>
        <v>2</v>
      </c>
      <c r="Z14" s="196">
        <f>IF($Y14="n/a","",_xlfn.IFERROR(COUNTIF($Y$2:$Y14,"="&amp;Y14),""))</f>
        <v>2</v>
      </c>
      <c r="AA14" s="196">
        <f>COUNTIF($X$2:X13,"&lt;"&amp;X14)</f>
        <v>0</v>
      </c>
      <c r="AB14" s="206">
        <f t="shared" si="17"/>
        <v>75</v>
      </c>
      <c r="AC14" s="345">
        <f t="shared" si="18"/>
        <v>80</v>
      </c>
    </row>
    <row r="15" spans="1:29" ht="12">
      <c r="A15" s="105">
        <v>62</v>
      </c>
      <c r="B15" s="35" t="s">
        <v>75</v>
      </c>
      <c r="C15" s="35" t="str">
        <f t="shared" si="10"/>
        <v>noel heritage</v>
      </c>
      <c r="D15" s="36" t="s">
        <v>21</v>
      </c>
      <c r="E15" s="321" t="s">
        <v>398</v>
      </c>
      <c r="F15" s="35"/>
      <c r="G15" s="36" t="s">
        <v>56</v>
      </c>
      <c r="H15" s="249">
        <f t="shared" si="19"/>
      </c>
      <c r="I15" s="249">
        <f t="shared" si="19"/>
      </c>
      <c r="J15" s="249">
        <f t="shared" si="19"/>
      </c>
      <c r="K15" s="249">
        <f t="shared" si="19"/>
      </c>
      <c r="L15" s="249">
        <f t="shared" si="19"/>
      </c>
      <c r="M15" s="249">
        <f t="shared" si="19"/>
        <v>100</v>
      </c>
      <c r="N15" s="249">
        <f t="shared" si="19"/>
      </c>
      <c r="O15" s="249">
        <f t="shared" si="19"/>
      </c>
      <c r="P15" s="249">
        <f t="shared" si="19"/>
      </c>
      <c r="Q15" s="249">
        <f t="shared" si="19"/>
      </c>
      <c r="R15" s="249">
        <f t="shared" si="19"/>
      </c>
      <c r="S15" s="103">
        <f t="shared" si="1"/>
        <v>100</v>
      </c>
      <c r="T15" s="105">
        <f>AB15-S15</f>
        <v>-40</v>
      </c>
      <c r="U15" s="214">
        <f t="shared" si="3"/>
        <v>94.34800000000001</v>
      </c>
      <c r="V15" s="208">
        <f t="shared" si="12"/>
        <v>1.7099999999999937</v>
      </c>
      <c r="W15" s="106">
        <f t="shared" si="13"/>
        <v>0</v>
      </c>
      <c r="X15" s="196">
        <f>_xlfn.IFERROR(VLOOKUP(D15,Class2018,4,0),"n/a")</f>
        <v>2</v>
      </c>
      <c r="Y15" s="196">
        <f>_xlfn.IFERROR(VLOOKUP(D15,Class2018,3,0),"n/a")</f>
        <v>4</v>
      </c>
      <c r="Z15" s="196">
        <f>IF($Y15="n/a","",_xlfn.IFERROR(COUNTIF($Y$2:$Y15,"="&amp;Y15),""))</f>
        <v>1</v>
      </c>
      <c r="AA15" s="196">
        <f>COUNTIF($X$2:X14,"&lt;"&amp;X15)</f>
        <v>2</v>
      </c>
      <c r="AB15" s="206">
        <f>IF($Y15="n/a",0,_xlfn.IFERROR(VLOOKUP(Z15+AA15,Points2018,2,0),15))</f>
        <v>60</v>
      </c>
      <c r="AC15" s="345">
        <f>(S15+T15+W15)</f>
        <v>60</v>
      </c>
    </row>
    <row r="16" spans="1:29" ht="12">
      <c r="A16" s="105">
        <v>141</v>
      </c>
      <c r="B16" s="35" t="s">
        <v>111</v>
      </c>
      <c r="C16" s="35" t="str">
        <f t="shared" si="10"/>
        <v>max lloyd</v>
      </c>
      <c r="D16" s="36" t="s">
        <v>21</v>
      </c>
      <c r="E16" s="321" t="s">
        <v>399</v>
      </c>
      <c r="F16" s="35"/>
      <c r="G16" s="36" t="s">
        <v>86</v>
      </c>
      <c r="H16" s="249">
        <f t="shared" si="19"/>
      </c>
      <c r="I16" s="249">
        <f t="shared" si="19"/>
      </c>
      <c r="J16" s="249">
        <f t="shared" si="19"/>
      </c>
      <c r="K16" s="249">
        <f t="shared" si="19"/>
      </c>
      <c r="L16" s="249">
        <f t="shared" si="19"/>
      </c>
      <c r="M16" s="249">
        <f t="shared" si="19"/>
        <v>75</v>
      </c>
      <c r="N16" s="249">
        <f t="shared" si="19"/>
      </c>
      <c r="O16" s="249">
        <f t="shared" si="19"/>
      </c>
      <c r="P16" s="249">
        <f t="shared" si="19"/>
      </c>
      <c r="Q16" s="249">
        <f t="shared" si="19"/>
      </c>
      <c r="R16" s="249">
        <f t="shared" si="19"/>
      </c>
      <c r="S16" s="103">
        <f t="shared" si="1"/>
        <v>75</v>
      </c>
      <c r="T16" s="105">
        <f t="shared" si="14"/>
        <v>-30</v>
      </c>
      <c r="U16" s="214">
        <f t="shared" si="3"/>
        <v>94.34800000000001</v>
      </c>
      <c r="V16" s="208">
        <f t="shared" si="12"/>
        <v>1.9799999999999756</v>
      </c>
      <c r="W16" s="106">
        <f t="shared" si="13"/>
        <v>0</v>
      </c>
      <c r="X16" s="196">
        <f t="shared" si="15"/>
        <v>2</v>
      </c>
      <c r="Y16" s="196">
        <f t="shared" si="16"/>
        <v>4</v>
      </c>
      <c r="Z16" s="196">
        <f>IF($Y16="n/a","",_xlfn.IFERROR(COUNTIF($Y$2:$Y16,"="&amp;Y16),""))</f>
        <v>2</v>
      </c>
      <c r="AA16" s="196">
        <f>COUNTIF($X$2:X14,"&lt;"&amp;X16)</f>
        <v>2</v>
      </c>
      <c r="AB16" s="206">
        <f t="shared" si="17"/>
        <v>45</v>
      </c>
      <c r="AC16" s="345">
        <f t="shared" si="18"/>
        <v>45</v>
      </c>
    </row>
    <row r="17" spans="1:29" ht="12">
      <c r="A17" s="574">
        <v>112</v>
      </c>
      <c r="B17" s="575" t="s">
        <v>174</v>
      </c>
      <c r="C17" s="575" t="str">
        <f t="shared" si="10"/>
        <v>ian vague</v>
      </c>
      <c r="D17" s="576" t="s">
        <v>4</v>
      </c>
      <c r="E17" s="577" t="s">
        <v>400</v>
      </c>
      <c r="F17" s="575"/>
      <c r="G17" s="576" t="s">
        <v>55</v>
      </c>
      <c r="H17" s="578">
        <f t="shared" si="19"/>
      </c>
      <c r="I17" s="578">
        <f t="shared" si="19"/>
      </c>
      <c r="J17" s="578">
        <f t="shared" si="19"/>
      </c>
      <c r="K17" s="578">
        <f t="shared" si="19"/>
      </c>
      <c r="L17" s="578">
        <f t="shared" si="19"/>
      </c>
      <c r="M17" s="578">
        <f t="shared" si="19"/>
      </c>
      <c r="N17" s="578">
        <f t="shared" si="19"/>
      </c>
      <c r="O17" s="578">
        <f t="shared" si="19"/>
      </c>
      <c r="P17" s="578">
        <f t="shared" si="19"/>
        <v>60</v>
      </c>
      <c r="Q17" s="578">
        <f t="shared" si="19"/>
      </c>
      <c r="R17" s="578">
        <f t="shared" si="19"/>
      </c>
      <c r="S17" s="103">
        <f t="shared" si="1"/>
        <v>60</v>
      </c>
      <c r="T17" s="574">
        <f t="shared" si="14"/>
        <v>-45</v>
      </c>
      <c r="U17" s="581">
        <f t="shared" si="3"/>
        <v>91.52799999999999</v>
      </c>
      <c r="V17" s="579">
        <f t="shared" si="12"/>
        <v>6.253999999999991</v>
      </c>
      <c r="W17" s="586">
        <f t="shared" si="13"/>
        <v>-10</v>
      </c>
      <c r="X17" s="196">
        <f t="shared" si="15"/>
        <v>3</v>
      </c>
      <c r="Y17" s="196">
        <f t="shared" si="16"/>
        <v>5</v>
      </c>
      <c r="Z17" s="196">
        <f>IF($Y17="n/a","",_xlfn.IFERROR(COUNTIF($Y$2:$Y17,"="&amp;Y17),""))</f>
        <v>3</v>
      </c>
      <c r="AA17" s="196">
        <f>COUNTIF($X$2:X16,"&lt;"&amp;X17)</f>
        <v>4</v>
      </c>
      <c r="AB17" s="206">
        <f t="shared" si="17"/>
        <v>15</v>
      </c>
      <c r="AC17" s="345">
        <f t="shared" si="18"/>
        <v>5</v>
      </c>
    </row>
    <row r="18" spans="1:29" ht="12">
      <c r="A18" s="105">
        <v>58</v>
      </c>
      <c r="B18" s="35" t="s">
        <v>401</v>
      </c>
      <c r="C18" s="35" t="str">
        <f t="shared" si="10"/>
        <v>murray seymour</v>
      </c>
      <c r="D18" s="36" t="s">
        <v>21</v>
      </c>
      <c r="E18" s="321" t="s">
        <v>402</v>
      </c>
      <c r="F18" s="35"/>
      <c r="G18" s="36" t="s">
        <v>56</v>
      </c>
      <c r="H18" s="249">
        <f t="shared" si="19"/>
      </c>
      <c r="I18" s="249">
        <f t="shared" si="19"/>
      </c>
      <c r="J18" s="249">
        <f t="shared" si="19"/>
      </c>
      <c r="K18" s="249">
        <f t="shared" si="19"/>
      </c>
      <c r="L18" s="249">
        <f t="shared" si="19"/>
      </c>
      <c r="M18" s="249">
        <f t="shared" si="19"/>
        <v>60</v>
      </c>
      <c r="N18" s="249">
        <f t="shared" si="19"/>
      </c>
      <c r="O18" s="249">
        <f t="shared" si="19"/>
      </c>
      <c r="P18" s="249">
        <f t="shared" si="19"/>
      </c>
      <c r="Q18" s="249">
        <f t="shared" si="19"/>
      </c>
      <c r="R18" s="249">
        <f t="shared" si="19"/>
      </c>
      <c r="S18" s="103">
        <f t="shared" si="1"/>
        <v>60</v>
      </c>
      <c r="T18" s="105">
        <f t="shared" si="14"/>
        <v>-30</v>
      </c>
      <c r="U18" s="214">
        <f t="shared" si="3"/>
        <v>94.34800000000001</v>
      </c>
      <c r="V18" s="208">
        <f>(($E18*86400)-U18)</f>
        <v>3.5449999999999875</v>
      </c>
      <c r="W18" s="106">
        <f>IF(V18&lt;=0,10,IF(V18&lt;1,5,IF(V18&lt;2,0,IF(V18&lt;3,-5,-10))))</f>
        <v>-10</v>
      </c>
      <c r="X18" s="196">
        <f t="shared" si="15"/>
        <v>2</v>
      </c>
      <c r="Y18" s="196">
        <f t="shared" si="16"/>
        <v>4</v>
      </c>
      <c r="Z18" s="196">
        <f>IF($Y18="n/a","",_xlfn.IFERROR(COUNTIF($Y$2:$Y18,"="&amp;Y18),""))</f>
        <v>3</v>
      </c>
      <c r="AA18" s="196">
        <f>COUNTIF($X$2:X17,"&lt;"&amp;X18)</f>
        <v>2</v>
      </c>
      <c r="AB18" s="206">
        <f t="shared" si="17"/>
        <v>30</v>
      </c>
      <c r="AC18" s="345">
        <f t="shared" si="18"/>
        <v>20</v>
      </c>
    </row>
    <row r="19" spans="1:29" ht="12">
      <c r="A19" s="389">
        <v>73</v>
      </c>
      <c r="B19" s="390" t="s">
        <v>197</v>
      </c>
      <c r="C19" s="390" t="str">
        <f t="shared" si="10"/>
        <v>jarrah pitt</v>
      </c>
      <c r="D19" s="391" t="s">
        <v>51</v>
      </c>
      <c r="E19" s="563" t="s">
        <v>403</v>
      </c>
      <c r="F19" s="390"/>
      <c r="G19" s="391" t="s">
        <v>86</v>
      </c>
      <c r="H19" s="392">
        <f t="shared" si="19"/>
      </c>
      <c r="I19" s="392">
        <f t="shared" si="19"/>
      </c>
      <c r="J19" s="392">
        <f t="shared" si="19"/>
      </c>
      <c r="K19" s="392">
        <f t="shared" si="19"/>
      </c>
      <c r="L19" s="392">
        <f t="shared" si="19"/>
        <v>75</v>
      </c>
      <c r="M19" s="392">
        <f t="shared" si="19"/>
      </c>
      <c r="N19" s="392">
        <f t="shared" si="19"/>
      </c>
      <c r="O19" s="392">
        <f t="shared" si="19"/>
      </c>
      <c r="P19" s="392">
        <f t="shared" si="19"/>
      </c>
      <c r="Q19" s="392">
        <f t="shared" si="19"/>
      </c>
      <c r="R19" s="392">
        <f t="shared" si="19"/>
      </c>
      <c r="S19" s="103">
        <f t="shared" si="1"/>
        <v>75</v>
      </c>
      <c r="T19" s="389">
        <f t="shared" si="14"/>
        <v>-60</v>
      </c>
      <c r="U19" s="400">
        <f t="shared" si="3"/>
        <v>91.65199999999999</v>
      </c>
      <c r="V19" s="401">
        <f t="shared" si="12"/>
        <v>6.575000000000003</v>
      </c>
      <c r="W19" s="584">
        <f t="shared" si="13"/>
        <v>-10</v>
      </c>
      <c r="X19" s="196">
        <f t="shared" si="15"/>
        <v>4</v>
      </c>
      <c r="Y19" s="196">
        <f t="shared" si="16"/>
        <v>7</v>
      </c>
      <c r="Z19" s="196">
        <f>IF($Y19="n/a","",_xlfn.IFERROR(COUNTIF($Y$2:$Y19,"="&amp;Y19),""))</f>
        <v>2</v>
      </c>
      <c r="AA19" s="196">
        <f>COUNTIF($X$2:X18,"&lt;"&amp;X19)</f>
        <v>9</v>
      </c>
      <c r="AB19" s="206">
        <f t="shared" si="17"/>
        <v>15</v>
      </c>
      <c r="AC19" s="345">
        <f t="shared" si="18"/>
        <v>5</v>
      </c>
    </row>
    <row r="20" spans="1:29" ht="12">
      <c r="A20" s="347">
        <v>53</v>
      </c>
      <c r="B20" s="1" t="s">
        <v>404</v>
      </c>
      <c r="C20" s="1" t="str">
        <f t="shared" si="10"/>
        <v>greg whyte</v>
      </c>
      <c r="D20" s="8" t="s">
        <v>26</v>
      </c>
      <c r="E20" s="11" t="s">
        <v>405</v>
      </c>
      <c r="F20" s="1"/>
      <c r="G20" s="8" t="s">
        <v>86</v>
      </c>
      <c r="H20" s="248">
        <f t="shared" si="11"/>
      </c>
      <c r="I20" s="248">
        <f t="shared" si="11"/>
      </c>
      <c r="J20" s="248">
        <f t="shared" si="11"/>
      </c>
      <c r="K20" s="248">
        <f t="shared" si="11"/>
      </c>
      <c r="L20" s="248">
        <f t="shared" si="11"/>
      </c>
      <c r="M20" s="248">
        <f t="shared" si="11"/>
      </c>
      <c r="N20" s="248">
        <f t="shared" si="11"/>
      </c>
      <c r="O20" s="248">
        <f t="shared" si="11"/>
      </c>
      <c r="P20" s="248">
        <f t="shared" si="11"/>
      </c>
      <c r="Q20" s="248">
        <f t="shared" si="11"/>
      </c>
      <c r="R20" s="248">
        <f t="shared" si="11"/>
      </c>
      <c r="S20" s="103">
        <f t="shared" si="1"/>
        <v>0</v>
      </c>
      <c r="T20" s="195">
        <f t="shared" si="2"/>
        <v>0</v>
      </c>
      <c r="U20" s="155">
        <f t="shared" si="3"/>
      </c>
      <c r="V20" s="209"/>
      <c r="W20" s="104"/>
      <c r="X20" s="196" t="str">
        <f t="shared" si="6"/>
        <v>n/a</v>
      </c>
      <c r="Y20" s="196" t="str">
        <f t="shared" si="7"/>
        <v>n/a</v>
      </c>
      <c r="Z20" s="196">
        <f>IF($Y20="n/a","",_xlfn.IFERROR(COUNTIF($Y$2:$Y20,"="&amp;Y20),""))</f>
      </c>
      <c r="AA20" s="196">
        <f>COUNTIF($X$2:X12,"&lt;"&amp;X20)</f>
        <v>0</v>
      </c>
      <c r="AB20" s="206">
        <f t="shared" si="8"/>
        <v>0</v>
      </c>
      <c r="AC20" s="345">
        <f t="shared" si="9"/>
        <v>0</v>
      </c>
    </row>
    <row r="21" spans="1:29" ht="12">
      <c r="A21" s="347">
        <v>242</v>
      </c>
      <c r="B21" s="1" t="s">
        <v>105</v>
      </c>
      <c r="C21" s="1" t="str">
        <f t="shared" si="10"/>
        <v>leon bogers</v>
      </c>
      <c r="D21" s="8" t="s">
        <v>26</v>
      </c>
      <c r="E21" s="11" t="s">
        <v>406</v>
      </c>
      <c r="F21" s="1"/>
      <c r="G21" s="8" t="s">
        <v>56</v>
      </c>
      <c r="H21" s="248">
        <f t="shared" si="11"/>
      </c>
      <c r="I21" s="248">
        <f t="shared" si="11"/>
      </c>
      <c r="J21" s="248">
        <f t="shared" si="11"/>
      </c>
      <c r="K21" s="248">
        <f t="shared" si="11"/>
      </c>
      <c r="L21" s="248">
        <f t="shared" si="11"/>
      </c>
      <c r="M21" s="248">
        <f t="shared" si="11"/>
      </c>
      <c r="N21" s="248">
        <f t="shared" si="11"/>
      </c>
      <c r="O21" s="248">
        <f t="shared" si="11"/>
      </c>
      <c r="P21" s="248">
        <f t="shared" si="11"/>
      </c>
      <c r="Q21" s="248">
        <f t="shared" si="11"/>
      </c>
      <c r="R21" s="248">
        <f t="shared" si="11"/>
      </c>
      <c r="S21" s="103">
        <f t="shared" si="1"/>
        <v>0</v>
      </c>
      <c r="T21" s="195">
        <f t="shared" si="2"/>
        <v>0</v>
      </c>
      <c r="U21" s="155">
        <f t="shared" si="3"/>
      </c>
      <c r="V21" s="209"/>
      <c r="W21" s="104"/>
      <c r="X21" s="196" t="str">
        <f t="shared" si="6"/>
        <v>n/a</v>
      </c>
      <c r="Y21" s="196" t="str">
        <f t="shared" si="7"/>
        <v>n/a</v>
      </c>
      <c r="Z21" s="196">
        <f>IF($Y21="n/a","",_xlfn.IFERROR(COUNTIF($Y$2:$Y21,"="&amp;Y21),""))</f>
      </c>
      <c r="AA21" s="196">
        <f>COUNTIF($X$2:X20,"&lt;"&amp;X21)</f>
        <v>0</v>
      </c>
      <c r="AB21" s="206">
        <f t="shared" si="8"/>
        <v>0</v>
      </c>
      <c r="AC21" s="345">
        <f t="shared" si="9"/>
        <v>0</v>
      </c>
    </row>
    <row r="22" spans="1:29" ht="12">
      <c r="A22" s="347">
        <v>20</v>
      </c>
      <c r="B22" s="1" t="s">
        <v>407</v>
      </c>
      <c r="C22" s="1" t="str">
        <f t="shared" si="10"/>
        <v>eden beavis</v>
      </c>
      <c r="D22" s="8" t="s">
        <v>26</v>
      </c>
      <c r="E22" s="11" t="s">
        <v>408</v>
      </c>
      <c r="F22" s="1"/>
      <c r="G22" s="8" t="s">
        <v>409</v>
      </c>
      <c r="H22" s="248">
        <f t="shared" si="11"/>
      </c>
      <c r="I22" s="248">
        <f t="shared" si="11"/>
      </c>
      <c r="J22" s="248">
        <f t="shared" si="11"/>
      </c>
      <c r="K22" s="248">
        <f t="shared" si="11"/>
      </c>
      <c r="L22" s="248">
        <f t="shared" si="11"/>
      </c>
      <c r="M22" s="248">
        <f t="shared" si="11"/>
      </c>
      <c r="N22" s="248">
        <f t="shared" si="11"/>
      </c>
      <c r="O22" s="248">
        <f t="shared" si="11"/>
      </c>
      <c r="P22" s="248">
        <f t="shared" si="11"/>
      </c>
      <c r="Q22" s="248">
        <f t="shared" si="11"/>
      </c>
      <c r="R22" s="248">
        <f t="shared" si="11"/>
      </c>
      <c r="S22" s="103">
        <f t="shared" si="1"/>
        <v>0</v>
      </c>
      <c r="T22" s="195">
        <f t="shared" si="2"/>
        <v>0</v>
      </c>
      <c r="U22" s="155">
        <f t="shared" si="3"/>
      </c>
      <c r="V22" s="209"/>
      <c r="W22" s="104"/>
      <c r="X22" s="196" t="str">
        <f t="shared" si="6"/>
        <v>n/a</v>
      </c>
      <c r="Y22" s="196" t="str">
        <f t="shared" si="7"/>
        <v>n/a</v>
      </c>
      <c r="Z22" s="196">
        <f>IF($Y22="n/a","",_xlfn.IFERROR(COUNTIF($Y$2:$Y22,"="&amp;Y22),""))</f>
      </c>
      <c r="AA22" s="196">
        <f>COUNTIF($X$2:X21,"&lt;"&amp;X22)</f>
        <v>0</v>
      </c>
      <c r="AB22" s="206">
        <f t="shared" si="8"/>
        <v>0</v>
      </c>
      <c r="AC22" s="345">
        <f t="shared" si="9"/>
        <v>0</v>
      </c>
    </row>
    <row r="23" spans="1:29" ht="12">
      <c r="A23" s="347">
        <v>34</v>
      </c>
      <c r="B23" s="1" t="s">
        <v>410</v>
      </c>
      <c r="C23" s="1" t="str">
        <f t="shared" si="10"/>
        <v>tim van duyl</v>
      </c>
      <c r="D23" s="8" t="s">
        <v>26</v>
      </c>
      <c r="E23" s="11" t="s">
        <v>411</v>
      </c>
      <c r="F23" s="1"/>
      <c r="G23" s="8" t="s">
        <v>56</v>
      </c>
      <c r="H23" s="248">
        <f t="shared" si="11"/>
      </c>
      <c r="I23" s="248">
        <f t="shared" si="11"/>
      </c>
      <c r="J23" s="248">
        <f t="shared" si="11"/>
      </c>
      <c r="K23" s="248">
        <f t="shared" si="11"/>
      </c>
      <c r="L23" s="248">
        <f t="shared" si="11"/>
      </c>
      <c r="M23" s="248">
        <f t="shared" si="11"/>
      </c>
      <c r="N23" s="248">
        <f t="shared" si="11"/>
      </c>
      <c r="O23" s="248">
        <f t="shared" si="11"/>
      </c>
      <c r="P23" s="248">
        <f t="shared" si="11"/>
      </c>
      <c r="Q23" s="248">
        <f t="shared" si="11"/>
      </c>
      <c r="R23" s="248">
        <f t="shared" si="11"/>
      </c>
      <c r="S23" s="103">
        <f t="shared" si="1"/>
        <v>0</v>
      </c>
      <c r="T23" s="195">
        <f t="shared" si="2"/>
        <v>0</v>
      </c>
      <c r="U23" s="155">
        <f t="shared" si="3"/>
      </c>
      <c r="V23" s="209"/>
      <c r="W23" s="104"/>
      <c r="X23" s="196" t="str">
        <f t="shared" si="6"/>
        <v>n/a</v>
      </c>
      <c r="Y23" s="196" t="str">
        <f t="shared" si="7"/>
        <v>n/a</v>
      </c>
      <c r="Z23" s="196">
        <f>IF($Y23="n/a","",_xlfn.IFERROR(COUNTIF($Y$2:$Y23,"="&amp;Y23),""))</f>
      </c>
      <c r="AA23" s="196">
        <f>COUNTIF($X$2:X22,"&lt;"&amp;X23)</f>
        <v>0</v>
      </c>
      <c r="AB23" s="206">
        <f t="shared" si="8"/>
        <v>0</v>
      </c>
      <c r="AC23" s="345">
        <f t="shared" si="9"/>
        <v>0</v>
      </c>
    </row>
    <row r="24" spans="1:29" ht="12">
      <c r="A24" s="107">
        <v>241</v>
      </c>
      <c r="B24" s="47" t="s">
        <v>79</v>
      </c>
      <c r="C24" s="47" t="str">
        <f t="shared" si="10"/>
        <v>john downes</v>
      </c>
      <c r="D24" s="48" t="s">
        <v>5</v>
      </c>
      <c r="E24" s="54" t="s">
        <v>412</v>
      </c>
      <c r="F24" s="47"/>
      <c r="G24" s="48" t="s">
        <v>55</v>
      </c>
      <c r="H24" s="250">
        <f t="shared" si="11"/>
      </c>
      <c r="I24" s="250">
        <f t="shared" si="11"/>
      </c>
      <c r="J24" s="250">
        <f t="shared" si="11"/>
      </c>
      <c r="K24" s="250">
        <f t="shared" si="11"/>
      </c>
      <c r="L24" s="250">
        <f t="shared" si="11"/>
      </c>
      <c r="M24" s="250">
        <f t="shared" si="11"/>
      </c>
      <c r="N24" s="250">
        <f t="shared" si="11"/>
      </c>
      <c r="O24" s="250">
        <f t="shared" si="11"/>
      </c>
      <c r="P24" s="250">
        <f t="shared" si="11"/>
      </c>
      <c r="Q24" s="250">
        <f t="shared" si="11"/>
        <v>60</v>
      </c>
      <c r="R24" s="250">
        <f t="shared" si="11"/>
      </c>
      <c r="S24" s="103">
        <f t="shared" si="1"/>
        <v>60</v>
      </c>
      <c r="T24" s="107">
        <f t="shared" si="2"/>
        <v>0</v>
      </c>
      <c r="U24" s="215">
        <f t="shared" si="3"/>
        <v>95.12</v>
      </c>
      <c r="V24" s="210">
        <f t="shared" si="12"/>
        <v>4.832999999999998</v>
      </c>
      <c r="W24" s="108">
        <f t="shared" si="13"/>
        <v>-10</v>
      </c>
      <c r="X24" s="196">
        <f t="shared" si="6"/>
        <v>1</v>
      </c>
      <c r="Y24" s="196">
        <f t="shared" si="7"/>
        <v>2</v>
      </c>
      <c r="Z24" s="196">
        <f>IF($Y24="n/a","",_xlfn.IFERROR(COUNTIF($Y$2:$Y24,"="&amp;Y24),""))</f>
        <v>3</v>
      </c>
      <c r="AA24" s="196">
        <f>COUNTIF($X$2:X23,"&lt;"&amp;X24)</f>
        <v>0</v>
      </c>
      <c r="AB24" s="206">
        <f t="shared" si="8"/>
        <v>60</v>
      </c>
      <c r="AC24" s="345">
        <f t="shared" si="9"/>
        <v>50</v>
      </c>
    </row>
    <row r="25" spans="1:29" ht="12">
      <c r="A25" s="564">
        <v>55</v>
      </c>
      <c r="B25" s="74" t="s">
        <v>180</v>
      </c>
      <c r="C25" s="74" t="str">
        <f t="shared" si="10"/>
        <v>kutay dal</v>
      </c>
      <c r="D25" s="415" t="s">
        <v>3</v>
      </c>
      <c r="E25" s="77" t="s">
        <v>413</v>
      </c>
      <c r="F25" s="74"/>
      <c r="G25" s="415" t="s">
        <v>414</v>
      </c>
      <c r="H25" s="565">
        <f t="shared" si="11"/>
      </c>
      <c r="I25" s="565">
        <f t="shared" si="11"/>
      </c>
      <c r="J25" s="565">
        <f t="shared" si="11"/>
      </c>
      <c r="K25" s="565">
        <f t="shared" si="11"/>
      </c>
      <c r="L25" s="565">
        <f t="shared" si="11"/>
      </c>
      <c r="M25" s="565">
        <f t="shared" si="11"/>
      </c>
      <c r="N25" s="565">
        <f t="shared" si="11"/>
      </c>
      <c r="O25" s="565">
        <f t="shared" si="11"/>
      </c>
      <c r="P25" s="565">
        <f t="shared" si="11"/>
      </c>
      <c r="Q25" s="565">
        <f t="shared" si="11"/>
      </c>
      <c r="R25" s="565">
        <f t="shared" si="11"/>
        <v>100</v>
      </c>
      <c r="S25" s="103">
        <f t="shared" si="1"/>
        <v>100</v>
      </c>
      <c r="T25" s="564">
        <f t="shared" si="2"/>
        <v>0</v>
      </c>
      <c r="U25" s="582">
        <f t="shared" si="3"/>
        <v>97.107</v>
      </c>
      <c r="V25" s="566">
        <f t="shared" si="12"/>
        <v>3.028000000000006</v>
      </c>
      <c r="W25" s="587">
        <f t="shared" si="13"/>
        <v>-10</v>
      </c>
      <c r="X25" s="196">
        <f t="shared" si="6"/>
        <v>1</v>
      </c>
      <c r="Y25" s="196">
        <f t="shared" si="7"/>
        <v>1</v>
      </c>
      <c r="Z25" s="196">
        <f>IF($Y25="n/a","",_xlfn.IFERROR(COUNTIF($Y$2:$Y25,"="&amp;Y25),""))</f>
        <v>1</v>
      </c>
      <c r="AA25" s="196">
        <f>COUNTIF($X$2:X24,"&lt;"&amp;X25)</f>
        <v>0</v>
      </c>
      <c r="AB25" s="206">
        <f t="shared" si="8"/>
        <v>100</v>
      </c>
      <c r="AC25" s="345">
        <f t="shared" si="9"/>
        <v>90</v>
      </c>
    </row>
    <row r="26" spans="1:29" ht="12">
      <c r="A26" s="107">
        <v>35</v>
      </c>
      <c r="B26" s="47" t="s">
        <v>112</v>
      </c>
      <c r="C26" s="47" t="str">
        <f t="shared" si="10"/>
        <v>matthew cavell</v>
      </c>
      <c r="D26" s="48" t="s">
        <v>5</v>
      </c>
      <c r="E26" s="54" t="s">
        <v>415</v>
      </c>
      <c r="F26" s="47"/>
      <c r="G26" s="48" t="s">
        <v>56</v>
      </c>
      <c r="H26" s="250">
        <f t="shared" si="11"/>
      </c>
      <c r="I26" s="250">
        <f t="shared" si="11"/>
      </c>
      <c r="J26" s="250">
        <f t="shared" si="11"/>
      </c>
      <c r="K26" s="250">
        <f t="shared" si="11"/>
      </c>
      <c r="L26" s="250">
        <f t="shared" si="11"/>
      </c>
      <c r="M26" s="250">
        <f t="shared" si="11"/>
      </c>
      <c r="N26" s="250">
        <f t="shared" si="11"/>
      </c>
      <c r="O26" s="250">
        <f t="shared" si="11"/>
      </c>
      <c r="P26" s="250">
        <f t="shared" si="11"/>
      </c>
      <c r="Q26" s="250">
        <f t="shared" si="11"/>
        <v>45</v>
      </c>
      <c r="R26" s="250">
        <f t="shared" si="11"/>
      </c>
      <c r="S26" s="103">
        <f t="shared" si="1"/>
        <v>45</v>
      </c>
      <c r="T26" s="107">
        <f t="shared" si="2"/>
        <v>0</v>
      </c>
      <c r="U26" s="215">
        <f t="shared" si="3"/>
        <v>95.12</v>
      </c>
      <c r="V26" s="210">
        <f t="shared" si="12"/>
        <v>5.403000000000006</v>
      </c>
      <c r="W26" s="108">
        <f t="shared" si="13"/>
        <v>-10</v>
      </c>
      <c r="X26" s="196">
        <f t="shared" si="6"/>
        <v>1</v>
      </c>
      <c r="Y26" s="196">
        <f t="shared" si="7"/>
        <v>2</v>
      </c>
      <c r="Z26" s="196">
        <f>IF($Y26="n/a","",_xlfn.IFERROR(COUNTIF($Y$2:$Y26,"="&amp;Y26),""))</f>
        <v>4</v>
      </c>
      <c r="AA26" s="196">
        <f>COUNTIF($X$2:X25,"&lt;"&amp;X26)</f>
        <v>0</v>
      </c>
      <c r="AB26" s="206">
        <f t="shared" si="8"/>
        <v>45</v>
      </c>
      <c r="AC26" s="345">
        <f t="shared" si="9"/>
        <v>35</v>
      </c>
    </row>
    <row r="27" spans="1:29" ht="12">
      <c r="A27" s="347">
        <v>122</v>
      </c>
      <c r="B27" s="1" t="s">
        <v>109</v>
      </c>
      <c r="C27" s="1" t="str">
        <f t="shared" si="10"/>
        <v>peter whitaker</v>
      </c>
      <c r="D27" s="8" t="s">
        <v>26</v>
      </c>
      <c r="E27" s="11" t="s">
        <v>416</v>
      </c>
      <c r="F27" s="1"/>
      <c r="G27" s="8" t="s">
        <v>56</v>
      </c>
      <c r="H27" s="248">
        <f t="shared" si="11"/>
      </c>
      <c r="I27" s="248">
        <f t="shared" si="11"/>
      </c>
      <c r="J27" s="248">
        <f t="shared" si="11"/>
      </c>
      <c r="K27" s="248">
        <f t="shared" si="11"/>
      </c>
      <c r="L27" s="248">
        <f t="shared" si="11"/>
      </c>
      <c r="M27" s="248">
        <f t="shared" si="11"/>
      </c>
      <c r="N27" s="248">
        <f t="shared" si="11"/>
      </c>
      <c r="O27" s="248">
        <f t="shared" si="11"/>
      </c>
      <c r="P27" s="248">
        <f t="shared" si="11"/>
      </c>
      <c r="Q27" s="248">
        <f t="shared" si="11"/>
      </c>
      <c r="R27" s="248">
        <f t="shared" si="11"/>
      </c>
      <c r="S27" s="103">
        <f t="shared" si="1"/>
        <v>0</v>
      </c>
      <c r="T27" s="195">
        <f t="shared" si="2"/>
        <v>0</v>
      </c>
      <c r="U27" s="155">
        <f t="shared" si="3"/>
      </c>
      <c r="V27" s="209"/>
      <c r="W27" s="104"/>
      <c r="X27" s="196" t="str">
        <f t="shared" si="6"/>
        <v>n/a</v>
      </c>
      <c r="Y27" s="196" t="str">
        <f t="shared" si="7"/>
        <v>n/a</v>
      </c>
      <c r="Z27" s="196">
        <f>IF($Y27="n/a","",_xlfn.IFERROR(COUNTIF($Y$2:$Y27,"="&amp;Y27),""))</f>
      </c>
      <c r="AA27" s="196">
        <f>COUNTIF($X$2:X26,"&lt;"&amp;X27)</f>
        <v>0</v>
      </c>
      <c r="AB27" s="206">
        <f t="shared" si="8"/>
        <v>0</v>
      </c>
      <c r="AC27" s="345">
        <f t="shared" si="9"/>
        <v>0</v>
      </c>
    </row>
    <row r="28" spans="1:29" ht="12">
      <c r="A28" s="347">
        <v>19</v>
      </c>
      <c r="B28" s="1" t="s">
        <v>417</v>
      </c>
      <c r="C28" s="1" t="str">
        <f t="shared" si="10"/>
        <v>simon acfield</v>
      </c>
      <c r="D28" s="8" t="s">
        <v>26</v>
      </c>
      <c r="E28" s="11" t="s">
        <v>418</v>
      </c>
      <c r="F28" s="1"/>
      <c r="G28" s="8" t="s">
        <v>56</v>
      </c>
      <c r="H28" s="248">
        <f t="shared" si="11"/>
      </c>
      <c r="I28" s="248">
        <f t="shared" si="11"/>
      </c>
      <c r="J28" s="248">
        <f t="shared" si="11"/>
      </c>
      <c r="K28" s="248">
        <f t="shared" si="11"/>
      </c>
      <c r="L28" s="248">
        <f t="shared" si="11"/>
      </c>
      <c r="M28" s="248">
        <f t="shared" si="11"/>
      </c>
      <c r="N28" s="248">
        <f t="shared" si="11"/>
      </c>
      <c r="O28" s="248">
        <f t="shared" si="11"/>
      </c>
      <c r="P28" s="248">
        <f t="shared" si="11"/>
      </c>
      <c r="Q28" s="248">
        <f t="shared" si="11"/>
      </c>
      <c r="R28" s="248">
        <f t="shared" si="11"/>
      </c>
      <c r="S28" s="103">
        <f t="shared" si="1"/>
        <v>0</v>
      </c>
      <c r="T28" s="195">
        <f t="shared" si="2"/>
        <v>0</v>
      </c>
      <c r="U28" s="155">
        <f t="shared" si="3"/>
      </c>
      <c r="V28" s="209"/>
      <c r="W28" s="104"/>
      <c r="X28" s="196" t="str">
        <f t="shared" si="6"/>
        <v>n/a</v>
      </c>
      <c r="Y28" s="196" t="str">
        <f t="shared" si="7"/>
        <v>n/a</v>
      </c>
      <c r="Z28" s="196">
        <f>IF($Y28="n/a","",_xlfn.IFERROR(COUNTIF($Y$2:$Y28,"="&amp;Y28),""))</f>
      </c>
      <c r="AA28" s="196">
        <f>COUNTIF($X$2:X27,"&lt;"&amp;X28)</f>
        <v>0</v>
      </c>
      <c r="AB28" s="206">
        <f t="shared" si="8"/>
        <v>0</v>
      </c>
      <c r="AC28" s="345">
        <f t="shared" si="9"/>
        <v>0</v>
      </c>
    </row>
    <row r="29" spans="1:29" ht="12">
      <c r="A29" s="347">
        <v>15</v>
      </c>
      <c r="B29" s="1" t="s">
        <v>419</v>
      </c>
      <c r="C29" s="1" t="str">
        <f t="shared" si="10"/>
        <v>travis abreu</v>
      </c>
      <c r="D29" s="8" t="s">
        <v>26</v>
      </c>
      <c r="E29" s="11" t="s">
        <v>420</v>
      </c>
      <c r="F29" s="1"/>
      <c r="G29" s="8" t="s">
        <v>414</v>
      </c>
      <c r="H29" s="248">
        <f t="shared" si="11"/>
      </c>
      <c r="I29" s="248">
        <f t="shared" si="11"/>
      </c>
      <c r="J29" s="248">
        <f t="shared" si="11"/>
      </c>
      <c r="K29" s="248">
        <f t="shared" si="11"/>
      </c>
      <c r="L29" s="248">
        <f t="shared" si="11"/>
      </c>
      <c r="M29" s="248">
        <f t="shared" si="11"/>
      </c>
      <c r="N29" s="248">
        <f t="shared" si="11"/>
      </c>
      <c r="O29" s="248">
        <f t="shared" si="11"/>
      </c>
      <c r="P29" s="248">
        <f t="shared" si="11"/>
      </c>
      <c r="Q29" s="248">
        <f t="shared" si="11"/>
      </c>
      <c r="R29" s="248">
        <f t="shared" si="11"/>
      </c>
      <c r="S29" s="103">
        <f t="shared" si="1"/>
        <v>0</v>
      </c>
      <c r="T29" s="195">
        <f t="shared" si="2"/>
        <v>0</v>
      </c>
      <c r="U29" s="155">
        <f t="shared" si="3"/>
      </c>
      <c r="V29" s="209"/>
      <c r="W29" s="104"/>
      <c r="X29" s="196" t="str">
        <f t="shared" si="6"/>
        <v>n/a</v>
      </c>
      <c r="Y29" s="196" t="str">
        <f t="shared" si="7"/>
        <v>n/a</v>
      </c>
      <c r="Z29" s="196">
        <f>IF($Y29="n/a","",_xlfn.IFERROR(COUNTIF($Y$2:$Y29,"="&amp;Y29),""))</f>
      </c>
      <c r="AA29" s="196">
        <f>COUNTIF($X$2:X28,"&lt;"&amp;X29)</f>
        <v>0</v>
      </c>
      <c r="AB29" s="206">
        <f t="shared" si="8"/>
        <v>0</v>
      </c>
      <c r="AC29" s="345">
        <f t="shared" si="9"/>
        <v>0</v>
      </c>
    </row>
    <row r="30" spans="1:29" ht="12.75" thickBot="1">
      <c r="A30" s="361">
        <v>37</v>
      </c>
      <c r="B30" s="272" t="s">
        <v>421</v>
      </c>
      <c r="C30" s="272" t="str">
        <f t="shared" si="10"/>
        <v>michael williams</v>
      </c>
      <c r="D30" s="360" t="s">
        <v>26</v>
      </c>
      <c r="E30" s="330" t="s">
        <v>422</v>
      </c>
      <c r="F30" s="272"/>
      <c r="G30" s="360" t="s">
        <v>175</v>
      </c>
      <c r="H30" s="285">
        <f t="shared" si="11"/>
      </c>
      <c r="I30" s="285">
        <f t="shared" si="11"/>
      </c>
      <c r="J30" s="285">
        <f t="shared" si="11"/>
      </c>
      <c r="K30" s="285">
        <f t="shared" si="11"/>
      </c>
      <c r="L30" s="285">
        <f t="shared" si="11"/>
      </c>
      <c r="M30" s="285">
        <f t="shared" si="11"/>
      </c>
      <c r="N30" s="285">
        <f t="shared" si="11"/>
      </c>
      <c r="O30" s="285">
        <f t="shared" si="11"/>
      </c>
      <c r="P30" s="285">
        <f t="shared" si="11"/>
      </c>
      <c r="Q30" s="285">
        <f t="shared" si="11"/>
      </c>
      <c r="R30" s="285">
        <f t="shared" si="11"/>
      </c>
      <c r="S30" s="580">
        <f t="shared" si="1"/>
        <v>0</v>
      </c>
      <c r="T30" s="201">
        <f t="shared" si="2"/>
        <v>0</v>
      </c>
      <c r="U30" s="162">
        <f t="shared" si="3"/>
      </c>
      <c r="V30" s="271"/>
      <c r="W30" s="176"/>
      <c r="X30" s="435" t="str">
        <f t="shared" si="6"/>
        <v>n/a</v>
      </c>
      <c r="Y30" s="435" t="str">
        <f t="shared" si="7"/>
        <v>n/a</v>
      </c>
      <c r="Z30" s="435">
        <f>IF($Y30="n/a","",_xlfn.IFERROR(COUNTIF($Y$2:$Y30,"="&amp;Y30),""))</f>
      </c>
      <c r="AA30" s="435">
        <f>COUNTIF($X$2:X29,"&lt;"&amp;X30)</f>
        <v>0</v>
      </c>
      <c r="AB30" s="436">
        <f t="shared" si="8"/>
        <v>0</v>
      </c>
      <c r="AC30" s="475">
        <f t="shared" si="9"/>
        <v>0</v>
      </c>
    </row>
    <row r="31" spans="6:29" ht="12.75" thickBot="1">
      <c r="F31" s="175"/>
      <c r="G31" s="177" t="s">
        <v>27</v>
      </c>
      <c r="H31" s="178">
        <f aca="true" t="shared" si="20" ref="H31:S31">COUNT(H2:H30)</f>
        <v>1</v>
      </c>
      <c r="I31" s="178">
        <f t="shared" si="20"/>
        <v>2</v>
      </c>
      <c r="J31" s="178">
        <f t="shared" si="20"/>
        <v>1</v>
      </c>
      <c r="K31" s="178">
        <f t="shared" si="20"/>
        <v>2</v>
      </c>
      <c r="L31" s="178">
        <f t="shared" si="20"/>
        <v>2</v>
      </c>
      <c r="M31" s="178">
        <f t="shared" si="20"/>
        <v>3</v>
      </c>
      <c r="N31" s="178">
        <f t="shared" si="20"/>
        <v>0</v>
      </c>
      <c r="O31" s="178">
        <f t="shared" si="20"/>
        <v>1</v>
      </c>
      <c r="P31" s="178">
        <f t="shared" si="20"/>
        <v>3</v>
      </c>
      <c r="Q31" s="178">
        <f t="shared" si="20"/>
        <v>4</v>
      </c>
      <c r="R31" s="178">
        <f t="shared" si="20"/>
        <v>1</v>
      </c>
      <c r="S31" s="316">
        <f t="shared" si="20"/>
        <v>29</v>
      </c>
      <c r="T31" s="216"/>
      <c r="U31" s="216"/>
      <c r="V31" s="204"/>
      <c r="W31" s="216"/>
      <c r="X31" s="216"/>
      <c r="Y31" s="216"/>
      <c r="Z31" s="216"/>
      <c r="AA31" s="216"/>
      <c r="AB31" s="216"/>
      <c r="AC31" s="216"/>
    </row>
    <row r="32" spans="20:29" ht="12">
      <c r="T32" s="8"/>
      <c r="U32" s="1"/>
      <c r="V32" s="204"/>
      <c r="W32" s="1"/>
      <c r="X32" s="8"/>
      <c r="Y32" s="8"/>
      <c r="Z32" s="8"/>
      <c r="AA32" s="8"/>
      <c r="AB32" s="8"/>
      <c r="AC32" s="1"/>
    </row>
    <row r="33" spans="2:28" ht="12">
      <c r="B33" s="2"/>
      <c r="C33" s="2"/>
      <c r="D33" s="111"/>
      <c r="T33" s="111"/>
      <c r="X33" s="111"/>
      <c r="Y33" s="111"/>
      <c r="Z33" s="111"/>
      <c r="AA33" s="111"/>
      <c r="AB33" s="111"/>
    </row>
  </sheetData>
  <sheetProtection/>
  <mergeCells count="1">
    <mergeCell ref="AE1:AG1"/>
  </mergeCells>
  <printOptions/>
  <pageMargins left="0.7" right="0.7" top="0.75" bottom="0.75" header="0.3" footer="0.3"/>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AG20"/>
  <sheetViews>
    <sheetView zoomScale="90" zoomScaleNormal="90" zoomScalePageLayoutView="0" workbookViewId="0" topLeftCell="A1">
      <selection activeCell="A2" sqref="A2"/>
    </sheetView>
  </sheetViews>
  <sheetFormatPr defaultColWidth="8.8515625" defaultRowHeight="12.75"/>
  <cols>
    <col min="1" max="1" width="7.8515625" style="109" customWidth="1"/>
    <col min="2" max="2" width="22.00390625" style="110" customWidth="1"/>
    <col min="3" max="3" width="20.8515625" style="110" hidden="1" customWidth="1"/>
    <col min="4" max="4" width="9.28125" style="110" customWidth="1"/>
    <col min="5" max="5" width="10.421875" style="110" customWidth="1"/>
    <col min="6" max="6" width="14.28125" style="110" bestFit="1" customWidth="1"/>
    <col min="7" max="7" width="9.57421875" style="110" customWidth="1"/>
    <col min="8" max="18" width="7.7109375" style="110" customWidth="1"/>
    <col min="19" max="19" width="6.7109375" style="110" customWidth="1"/>
    <col min="20" max="20" width="7.8515625" style="110" customWidth="1"/>
    <col min="21" max="21" width="8.28125" style="0" customWidth="1"/>
    <col min="22" max="22" width="8.8515625" style="154" customWidth="1"/>
    <col min="23" max="23" width="8.8515625" style="0" customWidth="1"/>
    <col min="24" max="24" width="14.28125" style="110" hidden="1" customWidth="1"/>
    <col min="25" max="27" width="8.8515625" style="110" hidden="1" customWidth="1"/>
    <col min="28" max="28" width="11.421875" style="110" hidden="1" customWidth="1"/>
    <col min="29" max="29" width="8.8515625" style="0" customWidth="1"/>
    <col min="30" max="30" width="7.00390625" style="110" customWidth="1"/>
    <col min="31" max="31" width="8.8515625" style="110" customWidth="1"/>
    <col min="32" max="32" width="21.28125" style="110" customWidth="1"/>
    <col min="33" max="33" width="9.57421875" style="110" customWidth="1"/>
    <col min="34" max="16384" width="8.8515625" style="110" customWidth="1"/>
  </cols>
  <sheetData>
    <row r="1" spans="1:33" s="109" customFormat="1" ht="42.75" customHeight="1" thickBot="1">
      <c r="A1" s="179" t="s">
        <v>23</v>
      </c>
      <c r="B1" s="180" t="s">
        <v>1</v>
      </c>
      <c r="C1" s="181" t="s">
        <v>1</v>
      </c>
      <c r="D1" s="181" t="s">
        <v>2</v>
      </c>
      <c r="E1" s="182" t="s">
        <v>24</v>
      </c>
      <c r="F1" s="183"/>
      <c r="G1" s="183" t="s">
        <v>25</v>
      </c>
      <c r="H1" s="184" t="s">
        <v>14</v>
      </c>
      <c r="I1" s="185" t="s">
        <v>13</v>
      </c>
      <c r="J1" s="186" t="s">
        <v>16</v>
      </c>
      <c r="K1" s="187" t="s">
        <v>52</v>
      </c>
      <c r="L1" s="188" t="s">
        <v>51</v>
      </c>
      <c r="M1" s="189" t="s">
        <v>21</v>
      </c>
      <c r="N1" s="190" t="s">
        <v>22</v>
      </c>
      <c r="O1" s="191" t="s">
        <v>50</v>
      </c>
      <c r="P1" s="192" t="s">
        <v>4</v>
      </c>
      <c r="Q1" s="193" t="s">
        <v>5</v>
      </c>
      <c r="R1" s="194" t="s">
        <v>3</v>
      </c>
      <c r="S1" s="323" t="s">
        <v>64</v>
      </c>
      <c r="T1" s="202" t="s">
        <v>95</v>
      </c>
      <c r="U1" s="202" t="s">
        <v>60</v>
      </c>
      <c r="V1" s="205" t="s">
        <v>61</v>
      </c>
      <c r="W1" s="203" t="s">
        <v>63</v>
      </c>
      <c r="X1" s="324" t="s">
        <v>93</v>
      </c>
      <c r="Y1" s="324" t="s">
        <v>2</v>
      </c>
      <c r="Z1" s="324" t="s">
        <v>97</v>
      </c>
      <c r="AA1" s="324" t="s">
        <v>89</v>
      </c>
      <c r="AB1" s="324" t="s">
        <v>94</v>
      </c>
      <c r="AC1" s="323" t="s">
        <v>98</v>
      </c>
      <c r="AE1" s="661" t="s">
        <v>108</v>
      </c>
      <c r="AF1" s="662"/>
      <c r="AG1" s="663"/>
    </row>
    <row r="2" spans="1:33" ht="12.75">
      <c r="A2" s="169">
        <v>6</v>
      </c>
      <c r="B2" s="170" t="s">
        <v>106</v>
      </c>
      <c r="C2" s="170" t="str">
        <f>LOWER(B2)</f>
        <v>russell garner</v>
      </c>
      <c r="D2" s="379" t="s">
        <v>16</v>
      </c>
      <c r="E2" s="607" t="s">
        <v>433</v>
      </c>
      <c r="F2" s="596" t="s">
        <v>164</v>
      </c>
      <c r="G2" s="379" t="s">
        <v>166</v>
      </c>
      <c r="H2" s="263">
        <f>IF($D2=H$1,$S2,"")</f>
      </c>
      <c r="I2" s="263">
        <f aca="true" t="shared" si="0" ref="I2:R2">IF($D2=I$1,$S2,"")</f>
      </c>
      <c r="J2" s="263">
        <f t="shared" si="0"/>
        <v>100</v>
      </c>
      <c r="K2" s="263">
        <f t="shared" si="0"/>
      </c>
      <c r="L2" s="263">
        <f t="shared" si="0"/>
      </c>
      <c r="M2" s="263">
        <f t="shared" si="0"/>
      </c>
      <c r="N2" s="263">
        <f t="shared" si="0"/>
      </c>
      <c r="O2" s="263">
        <f t="shared" si="0"/>
      </c>
      <c r="P2" s="263">
        <f t="shared" si="0"/>
      </c>
      <c r="Q2" s="263">
        <f t="shared" si="0"/>
      </c>
      <c r="R2" s="263">
        <f t="shared" si="0"/>
      </c>
      <c r="S2" s="168">
        <f aca="true" t="shared" si="1" ref="S2:S16">_xlfn.IFERROR(VLOOKUP($Z2,Points2018,2,0),0)</f>
        <v>100</v>
      </c>
      <c r="T2" s="169">
        <f aca="true" t="shared" si="2" ref="T2:T7">AB2-S2</f>
        <v>0</v>
      </c>
      <c r="U2" s="264">
        <f aca="true" t="shared" si="3" ref="U2:U16">_xlfn.IFERROR(VLOOKUP(D2,BenchmarksRd4,3,0)*86400,"")</f>
        <v>66.82499999999999</v>
      </c>
      <c r="V2" s="265">
        <f aca="true" t="shared" si="4" ref="V2:V15">(($E2*86400)-U2)</f>
        <v>-0.19999999999998863</v>
      </c>
      <c r="W2" s="171">
        <f aca="true" t="shared" si="5" ref="W2:W15">IF(V2&lt;=0,10,IF(V2&lt;1,5,IF(V2&lt;2,0,IF(V2&lt;3,-5,-10))))</f>
        <v>10</v>
      </c>
      <c r="X2" s="217">
        <f aca="true" t="shared" si="6" ref="X2:X16">_xlfn.IFERROR(VLOOKUP(D2,Class2018,4,0),"n/a")</f>
        <v>5</v>
      </c>
      <c r="Y2" s="217">
        <f aca="true" t="shared" si="7" ref="Y2:Y16">_xlfn.IFERROR(VLOOKUP(D2,Class2018,3,0),"n/a")</f>
        <v>9</v>
      </c>
      <c r="Z2" s="217">
        <f>IF($Y2="n/a","",_xlfn.IFERROR(COUNTIF($Y$2:$Y2,"="&amp;Y2),""))</f>
        <v>1</v>
      </c>
      <c r="AA2" s="217">
        <f>COUNTIF($X1:X$2,"&lt;"&amp;X2)</f>
        <v>0</v>
      </c>
      <c r="AB2" s="247">
        <f aca="true" t="shared" si="8" ref="AB2:AB16">IF($Y2="n/a",0,_xlfn.IFERROR(VLOOKUP(Z2+AA2,Points2018,2,0),15))</f>
        <v>100</v>
      </c>
      <c r="AC2" s="474">
        <f aca="true" t="shared" si="9" ref="AC2:AC7">(S2+T2+W2)</f>
        <v>110</v>
      </c>
      <c r="AE2" s="251" t="s">
        <v>3</v>
      </c>
      <c r="AF2" s="420" t="s">
        <v>76</v>
      </c>
      <c r="AG2" s="421">
        <v>0.0008543518518518518</v>
      </c>
    </row>
    <row r="3" spans="1:33" ht="12.75">
      <c r="A3" s="103">
        <v>50</v>
      </c>
      <c r="B3" s="394" t="s">
        <v>72</v>
      </c>
      <c r="C3" s="394" t="str">
        <f aca="true" t="shared" si="10" ref="C3:C16">LOWER(B3)</f>
        <v>alan conrad</v>
      </c>
      <c r="D3" s="344" t="s">
        <v>52</v>
      </c>
      <c r="E3" s="608" t="s">
        <v>434</v>
      </c>
      <c r="F3" s="172" t="s">
        <v>164</v>
      </c>
      <c r="G3" s="344" t="s">
        <v>165</v>
      </c>
      <c r="H3" s="396">
        <f aca="true" t="shared" si="11" ref="H3:R16">IF($D3=H$1,$S3,"")</f>
      </c>
      <c r="I3" s="396">
        <f t="shared" si="11"/>
      </c>
      <c r="J3" s="396">
        <f t="shared" si="11"/>
      </c>
      <c r="K3" s="396">
        <f t="shared" si="11"/>
        <v>100</v>
      </c>
      <c r="L3" s="396">
        <f t="shared" si="11"/>
      </c>
      <c r="M3" s="396">
        <f t="shared" si="11"/>
      </c>
      <c r="N3" s="396">
        <f t="shared" si="11"/>
      </c>
      <c r="O3" s="396">
        <f t="shared" si="11"/>
      </c>
      <c r="P3" s="396">
        <f t="shared" si="11"/>
      </c>
      <c r="Q3" s="396">
        <f t="shared" si="11"/>
      </c>
      <c r="R3" s="396">
        <f t="shared" si="11"/>
      </c>
      <c r="S3" s="103">
        <f t="shared" si="1"/>
        <v>100</v>
      </c>
      <c r="T3" s="103">
        <f t="shared" si="2"/>
        <v>0</v>
      </c>
      <c r="U3" s="397">
        <f t="shared" si="3"/>
        <v>70.68599999999999</v>
      </c>
      <c r="V3" s="398">
        <f t="shared" si="4"/>
        <v>-1.5960000000000036</v>
      </c>
      <c r="W3" s="345">
        <f t="shared" si="5"/>
        <v>10</v>
      </c>
      <c r="X3" s="196">
        <f t="shared" si="6"/>
        <v>4</v>
      </c>
      <c r="Y3" s="196">
        <f t="shared" si="7"/>
        <v>8</v>
      </c>
      <c r="Z3" s="196">
        <f>IF($Y3="n/a","",_xlfn.IFERROR(COUNTIF($Y$2:$Y3,"="&amp;Y3),""))</f>
        <v>1</v>
      </c>
      <c r="AA3" s="196">
        <f>COUNTIF($X2:X$2,"&lt;"&amp;X3)</f>
        <v>0</v>
      </c>
      <c r="AB3" s="206">
        <f t="shared" si="8"/>
        <v>100</v>
      </c>
      <c r="AC3" s="345">
        <f t="shared" si="9"/>
        <v>110</v>
      </c>
      <c r="AE3" s="252" t="s">
        <v>5</v>
      </c>
      <c r="AF3" s="346" t="s">
        <v>451</v>
      </c>
      <c r="AG3" s="550">
        <v>0.0008528356481481481</v>
      </c>
    </row>
    <row r="4" spans="1:33" ht="12.75">
      <c r="A4" s="195">
        <v>100</v>
      </c>
      <c r="B4" s="5" t="s">
        <v>435</v>
      </c>
      <c r="C4" s="5" t="str">
        <f t="shared" si="10"/>
        <v>steve schreck</v>
      </c>
      <c r="D4" s="12" t="s">
        <v>26</v>
      </c>
      <c r="E4" s="7" t="s">
        <v>436</v>
      </c>
      <c r="F4" s="5"/>
      <c r="G4" s="12" t="s">
        <v>166</v>
      </c>
      <c r="H4" s="248">
        <f t="shared" si="11"/>
      </c>
      <c r="I4" s="248">
        <f t="shared" si="11"/>
      </c>
      <c r="J4" s="248">
        <f t="shared" si="11"/>
      </c>
      <c r="K4" s="248">
        <f t="shared" si="11"/>
      </c>
      <c r="L4" s="248">
        <f t="shared" si="11"/>
      </c>
      <c r="M4" s="248">
        <f t="shared" si="11"/>
      </c>
      <c r="N4" s="248">
        <f t="shared" si="11"/>
      </c>
      <c r="O4" s="248">
        <f t="shared" si="11"/>
      </c>
      <c r="P4" s="248">
        <f t="shared" si="11"/>
      </c>
      <c r="Q4" s="248">
        <f t="shared" si="11"/>
      </c>
      <c r="R4" s="248">
        <f t="shared" si="11"/>
      </c>
      <c r="S4" s="103">
        <f t="shared" si="1"/>
        <v>0</v>
      </c>
      <c r="T4" s="195">
        <f>AB4-S4</f>
        <v>0</v>
      </c>
      <c r="U4" s="155">
        <f t="shared" si="3"/>
      </c>
      <c r="V4" s="209"/>
      <c r="W4" s="104"/>
      <c r="X4" s="196" t="str">
        <f t="shared" si="6"/>
        <v>n/a</v>
      </c>
      <c r="Y4" s="196" t="str">
        <f t="shared" si="7"/>
        <v>n/a</v>
      </c>
      <c r="Z4" s="196">
        <f>IF($Y4="n/a","",_xlfn.IFERROR(COUNTIF($Y$2:$Y4,"="&amp;Y4),""))</f>
      </c>
      <c r="AA4" s="196">
        <f>COUNTIF($X$2:X3,"&lt;"&amp;X4)</f>
        <v>0</v>
      </c>
      <c r="AB4" s="206">
        <f t="shared" si="8"/>
        <v>0</v>
      </c>
      <c r="AC4" s="345">
        <f t="shared" si="9"/>
        <v>0</v>
      </c>
      <c r="AE4" s="253" t="s">
        <v>4</v>
      </c>
      <c r="AF4" s="141" t="s">
        <v>74</v>
      </c>
      <c r="AG4" s="348">
        <v>0.0008293402777777778</v>
      </c>
    </row>
    <row r="5" spans="1:33" ht="12.75">
      <c r="A5" s="597">
        <v>21</v>
      </c>
      <c r="B5" s="598" t="s">
        <v>88</v>
      </c>
      <c r="C5" s="598" t="str">
        <f t="shared" si="10"/>
        <v>gavin newman</v>
      </c>
      <c r="D5" s="599" t="s">
        <v>51</v>
      </c>
      <c r="E5" s="609" t="s">
        <v>437</v>
      </c>
      <c r="F5" s="600" t="s">
        <v>164</v>
      </c>
      <c r="G5" s="599" t="s">
        <v>166</v>
      </c>
      <c r="H5" s="601">
        <f t="shared" si="11"/>
      </c>
      <c r="I5" s="601">
        <f t="shared" si="11"/>
      </c>
      <c r="J5" s="601">
        <f t="shared" si="11"/>
      </c>
      <c r="K5" s="601">
        <f t="shared" si="11"/>
      </c>
      <c r="L5" s="601">
        <f t="shared" si="11"/>
        <v>100</v>
      </c>
      <c r="M5" s="601">
        <f t="shared" si="11"/>
      </c>
      <c r="N5" s="601">
        <f t="shared" si="11"/>
      </c>
      <c r="O5" s="601">
        <f t="shared" si="11"/>
      </c>
      <c r="P5" s="601">
        <f t="shared" si="11"/>
      </c>
      <c r="Q5" s="601">
        <f t="shared" si="11"/>
      </c>
      <c r="R5" s="601">
        <f t="shared" si="11"/>
      </c>
      <c r="S5" s="103">
        <f t="shared" si="1"/>
        <v>100</v>
      </c>
      <c r="T5" s="597">
        <f>AB5-S5</f>
        <v>0</v>
      </c>
      <c r="U5" s="602">
        <f t="shared" si="3"/>
        <v>73.13000000000001</v>
      </c>
      <c r="V5" s="603">
        <f t="shared" si="4"/>
        <v>-2.933000000000007</v>
      </c>
      <c r="W5" s="604">
        <f t="shared" si="5"/>
        <v>10</v>
      </c>
      <c r="X5" s="196">
        <f t="shared" si="6"/>
        <v>4</v>
      </c>
      <c r="Y5" s="196">
        <f t="shared" si="7"/>
        <v>7</v>
      </c>
      <c r="Z5" s="196">
        <f>IF($Y5="n/a","",_xlfn.IFERROR(COUNTIF($Y$2:$Y5,"="&amp;Y5),""))</f>
        <v>1</v>
      </c>
      <c r="AA5" s="196">
        <f>COUNTIF($X$2:X4,"&lt;"&amp;X5)</f>
        <v>0</v>
      </c>
      <c r="AB5" s="206">
        <f t="shared" si="8"/>
        <v>100</v>
      </c>
      <c r="AC5" s="345">
        <f t="shared" si="9"/>
        <v>110</v>
      </c>
      <c r="AE5" s="254" t="s">
        <v>50</v>
      </c>
      <c r="AF5" s="134" t="s">
        <v>74</v>
      </c>
      <c r="AG5" s="349">
        <v>0.0008423611111111111</v>
      </c>
    </row>
    <row r="6" spans="1:33" ht="12.75">
      <c r="A6" s="107">
        <v>82</v>
      </c>
      <c r="B6" s="47" t="s">
        <v>80</v>
      </c>
      <c r="C6" s="47" t="str">
        <f t="shared" si="10"/>
        <v>steve williamsz</v>
      </c>
      <c r="D6" s="48" t="s">
        <v>5</v>
      </c>
      <c r="E6" s="610" t="s">
        <v>438</v>
      </c>
      <c r="F6" s="605" t="s">
        <v>164</v>
      </c>
      <c r="G6" s="48" t="s">
        <v>166</v>
      </c>
      <c r="H6" s="250">
        <f t="shared" si="11"/>
      </c>
      <c r="I6" s="250">
        <f t="shared" si="11"/>
      </c>
      <c r="J6" s="250">
        <f t="shared" si="11"/>
      </c>
      <c r="K6" s="250">
        <f t="shared" si="11"/>
      </c>
      <c r="L6" s="250">
        <f t="shared" si="11"/>
      </c>
      <c r="M6" s="250">
        <f t="shared" si="11"/>
      </c>
      <c r="N6" s="250">
        <f t="shared" si="11"/>
      </c>
      <c r="O6" s="250">
        <f t="shared" si="11"/>
      </c>
      <c r="P6" s="250">
        <f t="shared" si="11"/>
      </c>
      <c r="Q6" s="250">
        <f t="shared" si="11"/>
        <v>100</v>
      </c>
      <c r="R6" s="250">
        <f t="shared" si="11"/>
      </c>
      <c r="S6" s="103">
        <f t="shared" si="1"/>
        <v>100</v>
      </c>
      <c r="T6" s="107">
        <f t="shared" si="2"/>
        <v>0</v>
      </c>
      <c r="U6" s="215">
        <f t="shared" si="3"/>
        <v>73.685</v>
      </c>
      <c r="V6" s="210">
        <f t="shared" si="4"/>
        <v>-1.460000000000008</v>
      </c>
      <c r="W6" s="108">
        <f t="shared" si="5"/>
        <v>10</v>
      </c>
      <c r="X6" s="196">
        <f t="shared" si="6"/>
        <v>1</v>
      </c>
      <c r="Y6" s="196">
        <f t="shared" si="7"/>
        <v>2</v>
      </c>
      <c r="Z6" s="196">
        <f>IF($Y6="n/a","",_xlfn.IFERROR(COUNTIF($Y$2:$Y6,"="&amp;Y6),""))</f>
        <v>1</v>
      </c>
      <c r="AA6" s="196">
        <f>COUNTIF($X$2:X5,"&lt;"&amp;X6)</f>
        <v>0</v>
      </c>
      <c r="AB6" s="206">
        <f t="shared" si="8"/>
        <v>100</v>
      </c>
      <c r="AC6" s="345">
        <f t="shared" si="9"/>
        <v>110</v>
      </c>
      <c r="AE6" s="255" t="s">
        <v>22</v>
      </c>
      <c r="AF6" s="160" t="s">
        <v>169</v>
      </c>
      <c r="AG6" s="350">
        <v>0.0008229166666666667</v>
      </c>
    </row>
    <row r="7" spans="1:33" ht="12.75">
      <c r="A7" s="105">
        <v>62</v>
      </c>
      <c r="B7" s="35" t="s">
        <v>75</v>
      </c>
      <c r="C7" s="35" t="str">
        <f t="shared" si="10"/>
        <v>noel heritage</v>
      </c>
      <c r="D7" s="36" t="s">
        <v>21</v>
      </c>
      <c r="E7" s="543" t="s">
        <v>439</v>
      </c>
      <c r="F7" s="35"/>
      <c r="G7" s="36" t="s">
        <v>166</v>
      </c>
      <c r="H7" s="249">
        <f t="shared" si="11"/>
      </c>
      <c r="I7" s="249">
        <f t="shared" si="11"/>
      </c>
      <c r="J7" s="249">
        <f t="shared" si="11"/>
      </c>
      <c r="K7" s="249">
        <f t="shared" si="11"/>
      </c>
      <c r="L7" s="249">
        <f t="shared" si="11"/>
      </c>
      <c r="M7" s="249">
        <f t="shared" si="11"/>
        <v>100</v>
      </c>
      <c r="N7" s="249">
        <f t="shared" si="11"/>
      </c>
      <c r="O7" s="249">
        <f t="shared" si="11"/>
      </c>
      <c r="P7" s="249">
        <f t="shared" si="11"/>
      </c>
      <c r="Q7" s="249">
        <f t="shared" si="11"/>
      </c>
      <c r="R7" s="249">
        <f t="shared" si="11"/>
      </c>
      <c r="S7" s="103">
        <f t="shared" si="1"/>
        <v>100</v>
      </c>
      <c r="T7" s="105">
        <f t="shared" si="2"/>
        <v>-25</v>
      </c>
      <c r="U7" s="214">
        <f t="shared" si="3"/>
        <v>72.22399999999999</v>
      </c>
      <c r="V7" s="208">
        <f t="shared" si="4"/>
        <v>0.10900000000002308</v>
      </c>
      <c r="W7" s="106">
        <f t="shared" si="5"/>
        <v>5</v>
      </c>
      <c r="X7" s="196">
        <f t="shared" si="6"/>
        <v>2</v>
      </c>
      <c r="Y7" s="196">
        <f t="shared" si="7"/>
        <v>4</v>
      </c>
      <c r="Z7" s="196">
        <f>IF($Y7="n/a","",_xlfn.IFERROR(COUNTIF($Y$2:$Y7,"="&amp;Y7),""))</f>
        <v>1</v>
      </c>
      <c r="AA7" s="196">
        <f>COUNTIF($X$2:X6,"&lt;"&amp;X7)</f>
        <v>1</v>
      </c>
      <c r="AB7" s="206">
        <f t="shared" si="8"/>
        <v>75</v>
      </c>
      <c r="AC7" s="345">
        <f t="shared" si="9"/>
        <v>80</v>
      </c>
      <c r="AE7" s="256" t="s">
        <v>21</v>
      </c>
      <c r="AF7" s="44" t="s">
        <v>75</v>
      </c>
      <c r="AG7" s="551">
        <v>0.0008359259259259258</v>
      </c>
    </row>
    <row r="8" spans="1:33" ht="12.75">
      <c r="A8" s="409">
        <v>16</v>
      </c>
      <c r="B8" s="135" t="s">
        <v>133</v>
      </c>
      <c r="C8" s="135" t="str">
        <f t="shared" si="10"/>
        <v>david adam</v>
      </c>
      <c r="D8" s="410" t="s">
        <v>50</v>
      </c>
      <c r="E8" s="611" t="s">
        <v>440</v>
      </c>
      <c r="F8" s="606" t="s">
        <v>164</v>
      </c>
      <c r="G8" s="410" t="s">
        <v>166</v>
      </c>
      <c r="H8" s="412">
        <f t="shared" si="11"/>
      </c>
      <c r="I8" s="412">
        <f t="shared" si="11"/>
      </c>
      <c r="J8" s="412">
        <f t="shared" si="11"/>
      </c>
      <c r="K8" s="412">
        <f t="shared" si="11"/>
      </c>
      <c r="L8" s="412">
        <f t="shared" si="11"/>
      </c>
      <c r="M8" s="412">
        <f t="shared" si="11"/>
      </c>
      <c r="N8" s="412">
        <f t="shared" si="11"/>
      </c>
      <c r="O8" s="412">
        <f t="shared" si="11"/>
        <v>100</v>
      </c>
      <c r="P8" s="412">
        <f t="shared" si="11"/>
      </c>
      <c r="Q8" s="412">
        <f t="shared" si="11"/>
      </c>
      <c r="R8" s="412">
        <f t="shared" si="11"/>
      </c>
      <c r="S8" s="103">
        <f t="shared" si="1"/>
        <v>100</v>
      </c>
      <c r="T8" s="409">
        <f aca="true" t="shared" si="12" ref="T8:T16">AB8-S8</f>
        <v>-40</v>
      </c>
      <c r="U8" s="413">
        <f t="shared" si="3"/>
        <v>72.78</v>
      </c>
      <c r="V8" s="414">
        <f t="shared" si="4"/>
        <v>-0.1729999999999876</v>
      </c>
      <c r="W8" s="585">
        <f t="shared" si="5"/>
        <v>10</v>
      </c>
      <c r="X8" s="196">
        <f t="shared" si="6"/>
        <v>3</v>
      </c>
      <c r="Y8" s="196">
        <f t="shared" si="7"/>
        <v>6</v>
      </c>
      <c r="Z8" s="196">
        <f>IF($Y8="n/a","",_xlfn.IFERROR(COUNTIF($Y$2:$Y8,"="&amp;Y8),""))</f>
        <v>1</v>
      </c>
      <c r="AA8" s="196">
        <f>COUNTIF($X$2:X7,"&lt;"&amp;X8)</f>
        <v>2</v>
      </c>
      <c r="AB8" s="206">
        <f t="shared" si="8"/>
        <v>60</v>
      </c>
      <c r="AC8" s="345">
        <f aca="true" t="shared" si="13" ref="AC8:AC16">(S8+T8+W8)</f>
        <v>70</v>
      </c>
      <c r="AE8" s="257" t="s">
        <v>51</v>
      </c>
      <c r="AF8" s="351" t="s">
        <v>452</v>
      </c>
      <c r="AG8" s="552">
        <v>0.0008464120370370371</v>
      </c>
    </row>
    <row r="9" spans="1:33" ht="12.75">
      <c r="A9" s="105">
        <v>141</v>
      </c>
      <c r="B9" s="35" t="s">
        <v>111</v>
      </c>
      <c r="C9" s="35" t="str">
        <f t="shared" si="10"/>
        <v>max lloyd</v>
      </c>
      <c r="D9" s="36" t="s">
        <v>21</v>
      </c>
      <c r="E9" s="543" t="s">
        <v>441</v>
      </c>
      <c r="F9" s="35"/>
      <c r="G9" s="36" t="s">
        <v>166</v>
      </c>
      <c r="H9" s="249">
        <f t="shared" si="11"/>
      </c>
      <c r="I9" s="249">
        <f t="shared" si="11"/>
      </c>
      <c r="J9" s="249">
        <f t="shared" si="11"/>
      </c>
      <c r="K9" s="249">
        <f t="shared" si="11"/>
      </c>
      <c r="L9" s="249">
        <f t="shared" si="11"/>
      </c>
      <c r="M9" s="249">
        <f t="shared" si="11"/>
        <v>75</v>
      </c>
      <c r="N9" s="249">
        <f t="shared" si="11"/>
      </c>
      <c r="O9" s="249">
        <f t="shared" si="11"/>
      </c>
      <c r="P9" s="249">
        <f t="shared" si="11"/>
      </c>
      <c r="Q9" s="249">
        <f t="shared" si="11"/>
      </c>
      <c r="R9" s="249">
        <f t="shared" si="11"/>
      </c>
      <c r="S9" s="103">
        <f t="shared" si="1"/>
        <v>75</v>
      </c>
      <c r="T9" s="105">
        <f t="shared" si="12"/>
        <v>-15</v>
      </c>
      <c r="U9" s="214">
        <f t="shared" si="3"/>
        <v>72.22399999999999</v>
      </c>
      <c r="V9" s="208">
        <f t="shared" si="4"/>
        <v>0.6200000000000045</v>
      </c>
      <c r="W9" s="106">
        <f t="shared" si="5"/>
        <v>5</v>
      </c>
      <c r="X9" s="196">
        <f t="shared" si="6"/>
        <v>2</v>
      </c>
      <c r="Y9" s="196">
        <f t="shared" si="7"/>
        <v>4</v>
      </c>
      <c r="Z9" s="196">
        <f>IF($Y9="n/a","",_xlfn.IFERROR(COUNTIF($Y$2:$Y9,"="&amp;Y9),""))</f>
        <v>2</v>
      </c>
      <c r="AA9" s="196">
        <f>COUNTIF($X$2:X8,"&lt;"&amp;X9)</f>
        <v>1</v>
      </c>
      <c r="AB9" s="206">
        <f t="shared" si="8"/>
        <v>60</v>
      </c>
      <c r="AC9" s="345">
        <f t="shared" si="13"/>
        <v>65</v>
      </c>
      <c r="AE9" s="258" t="s">
        <v>52</v>
      </c>
      <c r="AF9" s="352" t="s">
        <v>72</v>
      </c>
      <c r="AG9" s="353">
        <v>0.000818125</v>
      </c>
    </row>
    <row r="10" spans="1:33" ht="12.75">
      <c r="A10" s="195">
        <v>154</v>
      </c>
      <c r="B10" s="5" t="s">
        <v>442</v>
      </c>
      <c r="C10" s="5" t="str">
        <f t="shared" si="10"/>
        <v>peter marks</v>
      </c>
      <c r="D10" s="12" t="s">
        <v>26</v>
      </c>
      <c r="E10" s="7" t="s">
        <v>443</v>
      </c>
      <c r="F10" s="5"/>
      <c r="G10" s="12" t="s">
        <v>166</v>
      </c>
      <c r="H10" s="248">
        <f t="shared" si="11"/>
      </c>
      <c r="I10" s="248">
        <f t="shared" si="11"/>
      </c>
      <c r="J10" s="248">
        <f t="shared" si="11"/>
      </c>
      <c r="K10" s="248">
        <f t="shared" si="11"/>
      </c>
      <c r="L10" s="248">
        <f t="shared" si="11"/>
      </c>
      <c r="M10" s="248">
        <f t="shared" si="11"/>
      </c>
      <c r="N10" s="248">
        <f t="shared" si="11"/>
      </c>
      <c r="O10" s="248">
        <f t="shared" si="11"/>
      </c>
      <c r="P10" s="248">
        <f t="shared" si="11"/>
      </c>
      <c r="Q10" s="248">
        <f t="shared" si="11"/>
      </c>
      <c r="R10" s="248">
        <f t="shared" si="11"/>
      </c>
      <c r="S10" s="103">
        <f t="shared" si="1"/>
        <v>0</v>
      </c>
      <c r="T10" s="195">
        <f t="shared" si="12"/>
        <v>0</v>
      </c>
      <c r="U10" s="155">
        <f t="shared" si="3"/>
      </c>
      <c r="V10" s="209"/>
      <c r="W10" s="104"/>
      <c r="X10" s="196" t="str">
        <f t="shared" si="6"/>
        <v>n/a</v>
      </c>
      <c r="Y10" s="196" t="str">
        <f t="shared" si="7"/>
        <v>n/a</v>
      </c>
      <c r="Z10" s="196">
        <f>IF($Y10="n/a","",_xlfn.IFERROR(COUNTIF($Y$2:$Y10,"="&amp;Y10),""))</f>
      </c>
      <c r="AA10" s="196">
        <f>COUNTIF($X$2:X9,"&lt;"&amp;X10)</f>
        <v>0</v>
      </c>
      <c r="AB10" s="206">
        <f t="shared" si="8"/>
        <v>0</v>
      </c>
      <c r="AC10" s="345">
        <f t="shared" si="13"/>
        <v>0</v>
      </c>
      <c r="AE10" s="259" t="s">
        <v>16</v>
      </c>
      <c r="AF10" s="354" t="s">
        <v>106</v>
      </c>
      <c r="AG10" s="355">
        <v>0.0007734374999999999</v>
      </c>
    </row>
    <row r="11" spans="1:33" ht="12.75">
      <c r="A11" s="195">
        <v>242</v>
      </c>
      <c r="B11" s="5" t="s">
        <v>105</v>
      </c>
      <c r="C11" s="5" t="str">
        <f t="shared" si="10"/>
        <v>leon bogers</v>
      </c>
      <c r="D11" s="12" t="s">
        <v>26</v>
      </c>
      <c r="E11" s="7" t="s">
        <v>444</v>
      </c>
      <c r="F11" s="5"/>
      <c r="G11" s="12" t="s">
        <v>385</v>
      </c>
      <c r="H11" s="248">
        <f t="shared" si="11"/>
      </c>
      <c r="I11" s="248">
        <f t="shared" si="11"/>
      </c>
      <c r="J11" s="248">
        <f t="shared" si="11"/>
      </c>
      <c r="K11" s="248">
        <f t="shared" si="11"/>
      </c>
      <c r="L11" s="248">
        <f t="shared" si="11"/>
      </c>
      <c r="M11" s="248">
        <f t="shared" si="11"/>
      </c>
      <c r="N11" s="248">
        <f t="shared" si="11"/>
      </c>
      <c r="O11" s="248">
        <f t="shared" si="11"/>
      </c>
      <c r="P11" s="248">
        <f t="shared" si="11"/>
      </c>
      <c r="Q11" s="248">
        <f t="shared" si="11"/>
      </c>
      <c r="R11" s="248">
        <f t="shared" si="11"/>
      </c>
      <c r="S11" s="103">
        <f t="shared" si="1"/>
        <v>0</v>
      </c>
      <c r="T11" s="195">
        <f t="shared" si="12"/>
        <v>0</v>
      </c>
      <c r="U11" s="155">
        <f t="shared" si="3"/>
      </c>
      <c r="V11" s="209"/>
      <c r="W11" s="104"/>
      <c r="X11" s="196" t="str">
        <f t="shared" si="6"/>
        <v>n/a</v>
      </c>
      <c r="Y11" s="196" t="str">
        <f t="shared" si="7"/>
        <v>n/a</v>
      </c>
      <c r="Z11" s="196">
        <f>IF($Y11="n/a","",_xlfn.IFERROR(COUNTIF($Y$2:$Y11,"="&amp;Y11),""))</f>
      </c>
      <c r="AA11" s="196">
        <f>COUNTIF($X$2:X10,"&lt;"&amp;X11)</f>
        <v>0</v>
      </c>
      <c r="AB11" s="206">
        <f t="shared" si="8"/>
        <v>0</v>
      </c>
      <c r="AC11" s="345">
        <f t="shared" si="13"/>
        <v>0</v>
      </c>
      <c r="AE11" s="260" t="s">
        <v>13</v>
      </c>
      <c r="AF11" s="356" t="s">
        <v>82</v>
      </c>
      <c r="AG11" s="357">
        <v>0.0007670833333333333</v>
      </c>
    </row>
    <row r="12" spans="1:33" ht="13.5" thickBot="1">
      <c r="A12" s="564">
        <v>55</v>
      </c>
      <c r="B12" s="74" t="s">
        <v>180</v>
      </c>
      <c r="C12" s="74" t="str">
        <f t="shared" si="10"/>
        <v>kutay dal</v>
      </c>
      <c r="D12" s="415" t="s">
        <v>3</v>
      </c>
      <c r="E12" s="612" t="s">
        <v>445</v>
      </c>
      <c r="F12" s="74"/>
      <c r="G12" s="415" t="s">
        <v>165</v>
      </c>
      <c r="H12" s="565">
        <f t="shared" si="11"/>
      </c>
      <c r="I12" s="565">
        <f t="shared" si="11"/>
      </c>
      <c r="J12" s="565">
        <f t="shared" si="11"/>
      </c>
      <c r="K12" s="565">
        <f t="shared" si="11"/>
      </c>
      <c r="L12" s="565">
        <f t="shared" si="11"/>
      </c>
      <c r="M12" s="565">
        <f t="shared" si="11"/>
      </c>
      <c r="N12" s="565">
        <f t="shared" si="11"/>
      </c>
      <c r="O12" s="565">
        <f t="shared" si="11"/>
      </c>
      <c r="P12" s="565">
        <f t="shared" si="11"/>
      </c>
      <c r="Q12" s="565">
        <f t="shared" si="11"/>
      </c>
      <c r="R12" s="565">
        <f t="shared" si="11"/>
        <v>100</v>
      </c>
      <c r="S12" s="103">
        <f t="shared" si="1"/>
        <v>100</v>
      </c>
      <c r="T12" s="564">
        <f t="shared" si="12"/>
        <v>0</v>
      </c>
      <c r="U12" s="582">
        <f t="shared" si="3"/>
        <v>73.816</v>
      </c>
      <c r="V12" s="566">
        <f t="shared" si="4"/>
        <v>0.8769999999999953</v>
      </c>
      <c r="W12" s="587">
        <f t="shared" si="5"/>
        <v>5</v>
      </c>
      <c r="X12" s="196">
        <f t="shared" si="6"/>
        <v>1</v>
      </c>
      <c r="Y12" s="196">
        <f t="shared" si="7"/>
        <v>1</v>
      </c>
      <c r="Z12" s="196">
        <f>IF($Y12="n/a","",_xlfn.IFERROR(COUNTIF($Y$2:$Y12,"="&amp;Y12),""))</f>
        <v>1</v>
      </c>
      <c r="AA12" s="196">
        <f>COUNTIF($X$2:X11,"&lt;"&amp;X12)</f>
        <v>0</v>
      </c>
      <c r="AB12" s="206">
        <f t="shared" si="8"/>
        <v>100</v>
      </c>
      <c r="AC12" s="345">
        <f t="shared" si="13"/>
        <v>105</v>
      </c>
      <c r="AE12" s="261" t="s">
        <v>14</v>
      </c>
      <c r="AF12" s="553" t="s">
        <v>107</v>
      </c>
      <c r="AG12" s="554">
        <v>0.0007424652777777778</v>
      </c>
    </row>
    <row r="13" spans="1:29" ht="12.75">
      <c r="A13" s="107">
        <v>77</v>
      </c>
      <c r="B13" s="47" t="s">
        <v>78</v>
      </c>
      <c r="C13" s="47" t="str">
        <f t="shared" si="10"/>
        <v>simeon ouzas</v>
      </c>
      <c r="D13" s="48" t="s">
        <v>5</v>
      </c>
      <c r="E13" s="546" t="s">
        <v>446</v>
      </c>
      <c r="F13" s="47"/>
      <c r="G13" s="48" t="s">
        <v>165</v>
      </c>
      <c r="H13" s="250">
        <f t="shared" si="11"/>
      </c>
      <c r="I13" s="250">
        <f t="shared" si="11"/>
      </c>
      <c r="J13" s="250">
        <f t="shared" si="11"/>
      </c>
      <c r="K13" s="250">
        <f t="shared" si="11"/>
      </c>
      <c r="L13" s="250">
        <f t="shared" si="11"/>
      </c>
      <c r="M13" s="250">
        <f t="shared" si="11"/>
      </c>
      <c r="N13" s="250">
        <f t="shared" si="11"/>
      </c>
      <c r="O13" s="250">
        <f t="shared" si="11"/>
      </c>
      <c r="P13" s="250">
        <f t="shared" si="11"/>
      </c>
      <c r="Q13" s="250">
        <f t="shared" si="11"/>
        <v>75</v>
      </c>
      <c r="R13" s="250">
        <f t="shared" si="11"/>
      </c>
      <c r="S13" s="103">
        <f t="shared" si="1"/>
        <v>75</v>
      </c>
      <c r="T13" s="107">
        <f t="shared" si="12"/>
        <v>0</v>
      </c>
      <c r="U13" s="215">
        <f t="shared" si="3"/>
        <v>73.685</v>
      </c>
      <c r="V13" s="210">
        <f t="shared" si="4"/>
        <v>1.0459999999999923</v>
      </c>
      <c r="W13" s="108">
        <f t="shared" si="5"/>
        <v>0</v>
      </c>
      <c r="X13" s="196">
        <f t="shared" si="6"/>
        <v>1</v>
      </c>
      <c r="Y13" s="196">
        <f t="shared" si="7"/>
        <v>2</v>
      </c>
      <c r="Z13" s="196">
        <f>IF($Y13="n/a","",_xlfn.IFERROR(COUNTIF($Y$2:$Y13,"="&amp;Y13),""))</f>
        <v>2</v>
      </c>
      <c r="AA13" s="196">
        <f>COUNTIF($X$2:X6,"&lt;"&amp;X13)</f>
        <v>0</v>
      </c>
      <c r="AB13" s="206">
        <f t="shared" si="8"/>
        <v>75</v>
      </c>
      <c r="AC13" s="345">
        <f t="shared" si="13"/>
        <v>75</v>
      </c>
    </row>
    <row r="14" spans="1:29" ht="12">
      <c r="A14" s="195">
        <v>34</v>
      </c>
      <c r="B14" s="5" t="s">
        <v>410</v>
      </c>
      <c r="C14" s="5" t="str">
        <f t="shared" si="10"/>
        <v>tim van duyl</v>
      </c>
      <c r="D14" s="12" t="s">
        <v>26</v>
      </c>
      <c r="E14" s="7" t="s">
        <v>447</v>
      </c>
      <c r="F14" s="5"/>
      <c r="G14" s="12" t="s">
        <v>166</v>
      </c>
      <c r="H14" s="248">
        <f t="shared" si="11"/>
      </c>
      <c r="I14" s="248">
        <f t="shared" si="11"/>
      </c>
      <c r="J14" s="248">
        <f t="shared" si="11"/>
      </c>
      <c r="K14" s="248">
        <f t="shared" si="11"/>
      </c>
      <c r="L14" s="248">
        <f t="shared" si="11"/>
      </c>
      <c r="M14" s="248">
        <f t="shared" si="11"/>
      </c>
      <c r="N14" s="248">
        <f t="shared" si="11"/>
      </c>
      <c r="O14" s="248">
        <f t="shared" si="11"/>
      </c>
      <c r="P14" s="248">
        <f t="shared" si="11"/>
      </c>
      <c r="Q14" s="248">
        <f t="shared" si="11"/>
      </c>
      <c r="R14" s="248">
        <f t="shared" si="11"/>
      </c>
      <c r="S14" s="103">
        <f t="shared" si="1"/>
        <v>0</v>
      </c>
      <c r="T14" s="195">
        <f t="shared" si="12"/>
        <v>0</v>
      </c>
      <c r="U14" s="155">
        <f t="shared" si="3"/>
      </c>
      <c r="V14" s="209"/>
      <c r="W14" s="104"/>
      <c r="X14" s="196" t="str">
        <f t="shared" si="6"/>
        <v>n/a</v>
      </c>
      <c r="Y14" s="196" t="str">
        <f t="shared" si="7"/>
        <v>n/a</v>
      </c>
      <c r="Z14" s="196">
        <f>IF($Y14="n/a","",_xlfn.IFERROR(COUNTIF($Y$2:$Y14,"="&amp;Y14),""))</f>
      </c>
      <c r="AA14" s="196">
        <f>COUNTIF($X$2:X13,"&lt;"&amp;X14)</f>
        <v>0</v>
      </c>
      <c r="AB14" s="206">
        <f t="shared" si="8"/>
        <v>0</v>
      </c>
      <c r="AC14" s="345">
        <f t="shared" si="13"/>
        <v>0</v>
      </c>
    </row>
    <row r="15" spans="1:29" ht="12">
      <c r="A15" s="107">
        <v>241</v>
      </c>
      <c r="B15" s="47" t="s">
        <v>79</v>
      </c>
      <c r="C15" s="47" t="str">
        <f t="shared" si="10"/>
        <v>john downes</v>
      </c>
      <c r="D15" s="48" t="s">
        <v>5</v>
      </c>
      <c r="E15" s="546" t="s">
        <v>448</v>
      </c>
      <c r="F15" s="47"/>
      <c r="G15" s="48" t="s">
        <v>165</v>
      </c>
      <c r="H15" s="250">
        <f t="shared" si="11"/>
      </c>
      <c r="I15" s="250">
        <f t="shared" si="11"/>
      </c>
      <c r="J15" s="250">
        <f t="shared" si="11"/>
      </c>
      <c r="K15" s="250">
        <f t="shared" si="11"/>
      </c>
      <c r="L15" s="250">
        <f t="shared" si="11"/>
      </c>
      <c r="M15" s="250">
        <f t="shared" si="11"/>
      </c>
      <c r="N15" s="250">
        <f t="shared" si="11"/>
      </c>
      <c r="O15" s="250">
        <f t="shared" si="11"/>
      </c>
      <c r="P15" s="250">
        <f t="shared" si="11"/>
      </c>
      <c r="Q15" s="250">
        <f t="shared" si="11"/>
        <v>60</v>
      </c>
      <c r="R15" s="250">
        <f t="shared" si="11"/>
      </c>
      <c r="S15" s="103">
        <f t="shared" si="1"/>
        <v>60</v>
      </c>
      <c r="T15" s="107">
        <f t="shared" si="12"/>
        <v>0</v>
      </c>
      <c r="U15" s="215">
        <f t="shared" si="3"/>
        <v>73.685</v>
      </c>
      <c r="V15" s="210">
        <f t="shared" si="4"/>
        <v>2.64200000000001</v>
      </c>
      <c r="W15" s="108">
        <f t="shared" si="5"/>
        <v>-5</v>
      </c>
      <c r="X15" s="196">
        <f>_xlfn.IFERROR(VLOOKUP(D15,Class2018,4,0),"n/a")</f>
        <v>1</v>
      </c>
      <c r="Y15" s="196">
        <f>_xlfn.IFERROR(VLOOKUP(D15,Class2018,3,0),"n/a")</f>
        <v>2</v>
      </c>
      <c r="Z15" s="196">
        <f>IF($Y15="n/a","",_xlfn.IFERROR(COUNTIF($Y$2:$Y15,"="&amp;Y15),""))</f>
        <v>3</v>
      </c>
      <c r="AA15" s="196">
        <f>COUNTIF($X$2:X14,"&lt;"&amp;X15)</f>
        <v>0</v>
      </c>
      <c r="AB15" s="206">
        <f>IF($Y15="n/a",0,_xlfn.IFERROR(VLOOKUP(Z15+AA15,Points2018,2,0),15))</f>
        <v>60</v>
      </c>
      <c r="AC15" s="345">
        <f t="shared" si="13"/>
        <v>55</v>
      </c>
    </row>
    <row r="16" spans="1:29" ht="12.75" thickBot="1">
      <c r="A16" s="201">
        <v>118</v>
      </c>
      <c r="B16" s="595" t="s">
        <v>449</v>
      </c>
      <c r="C16" s="595" t="str">
        <f t="shared" si="10"/>
        <v>tom whelan</v>
      </c>
      <c r="D16" s="473" t="s">
        <v>26</v>
      </c>
      <c r="E16" s="613" t="s">
        <v>450</v>
      </c>
      <c r="F16" s="595"/>
      <c r="G16" s="473" t="s">
        <v>166</v>
      </c>
      <c r="H16" s="285">
        <f t="shared" si="11"/>
      </c>
      <c r="I16" s="285">
        <f t="shared" si="11"/>
      </c>
      <c r="J16" s="285">
        <f t="shared" si="11"/>
      </c>
      <c r="K16" s="285">
        <f t="shared" si="11"/>
      </c>
      <c r="L16" s="285">
        <f t="shared" si="11"/>
      </c>
      <c r="M16" s="285">
        <f t="shared" si="11"/>
      </c>
      <c r="N16" s="285">
        <f t="shared" si="11"/>
      </c>
      <c r="O16" s="285">
        <f t="shared" si="11"/>
      </c>
      <c r="P16" s="285">
        <f t="shared" si="11"/>
      </c>
      <c r="Q16" s="285">
        <f t="shared" si="11"/>
      </c>
      <c r="R16" s="285">
        <f t="shared" si="11"/>
      </c>
      <c r="S16" s="580">
        <f t="shared" si="1"/>
        <v>0</v>
      </c>
      <c r="T16" s="201">
        <f t="shared" si="12"/>
        <v>0</v>
      </c>
      <c r="U16" s="162">
        <f t="shared" si="3"/>
      </c>
      <c r="V16" s="271"/>
      <c r="W16" s="176"/>
      <c r="X16" s="435" t="str">
        <f t="shared" si="6"/>
        <v>n/a</v>
      </c>
      <c r="Y16" s="435" t="str">
        <f t="shared" si="7"/>
        <v>n/a</v>
      </c>
      <c r="Z16" s="435">
        <f>IF($Y16="n/a","",_xlfn.IFERROR(COUNTIF($Y$2:$Y16,"="&amp;Y16),""))</f>
      </c>
      <c r="AA16" s="435">
        <f>COUNTIF($X$2:X15,"&lt;"&amp;X16)</f>
        <v>0</v>
      </c>
      <c r="AB16" s="436">
        <f t="shared" si="8"/>
        <v>0</v>
      </c>
      <c r="AC16" s="475">
        <f t="shared" si="13"/>
        <v>0</v>
      </c>
    </row>
    <row r="17" spans="6:29" ht="12.75" thickBot="1">
      <c r="F17" s="175"/>
      <c r="G17" s="177" t="s">
        <v>27</v>
      </c>
      <c r="H17" s="178">
        <f aca="true" t="shared" si="14" ref="H17:S17">COUNT(H2:H16)</f>
        <v>0</v>
      </c>
      <c r="I17" s="178">
        <f t="shared" si="14"/>
        <v>0</v>
      </c>
      <c r="J17" s="178">
        <f t="shared" si="14"/>
        <v>1</v>
      </c>
      <c r="K17" s="178">
        <f t="shared" si="14"/>
        <v>1</v>
      </c>
      <c r="L17" s="178">
        <f t="shared" si="14"/>
        <v>1</v>
      </c>
      <c r="M17" s="178">
        <f t="shared" si="14"/>
        <v>2</v>
      </c>
      <c r="N17" s="178">
        <f t="shared" si="14"/>
        <v>0</v>
      </c>
      <c r="O17" s="178">
        <f t="shared" si="14"/>
        <v>1</v>
      </c>
      <c r="P17" s="178">
        <f t="shared" si="14"/>
        <v>0</v>
      </c>
      <c r="Q17" s="178">
        <f t="shared" si="14"/>
        <v>3</v>
      </c>
      <c r="R17" s="178">
        <f t="shared" si="14"/>
        <v>1</v>
      </c>
      <c r="S17" s="316">
        <f t="shared" si="14"/>
        <v>15</v>
      </c>
      <c r="T17" s="216"/>
      <c r="U17" s="216"/>
      <c r="V17" s="204"/>
      <c r="W17" s="216"/>
      <c r="X17" s="216"/>
      <c r="Y17" s="216"/>
      <c r="Z17" s="216"/>
      <c r="AA17" s="216"/>
      <c r="AB17" s="216"/>
      <c r="AC17" s="216"/>
    </row>
    <row r="18" spans="20:29" ht="12">
      <c r="T18" s="8"/>
      <c r="U18" s="1"/>
      <c r="V18" s="204"/>
      <c r="W18" s="1"/>
      <c r="X18" s="8"/>
      <c r="Y18" s="8"/>
      <c r="Z18" s="8"/>
      <c r="AA18" s="8"/>
      <c r="AB18" s="8"/>
      <c r="AC18" s="1"/>
    </row>
    <row r="19" spans="2:28" ht="12">
      <c r="B19" s="2"/>
      <c r="C19" s="2"/>
      <c r="D19" s="111"/>
      <c r="T19" s="111"/>
      <c r="X19" s="111"/>
      <c r="Y19" s="111"/>
      <c r="Z19" s="111"/>
      <c r="AA19" s="111"/>
      <c r="AB19" s="111"/>
    </row>
    <row r="20" ht="12">
      <c r="V20" s="154"/>
    </row>
  </sheetData>
  <sheetProtection/>
  <mergeCells count="1">
    <mergeCell ref="AE1:AG1"/>
  </mergeCells>
  <printOptions/>
  <pageMargins left="0.7" right="0.7" top="0.75" bottom="0.75" header="0.3" footer="0.3"/>
  <pageSetup horizontalDpi="300" verticalDpi="3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AG30"/>
  <sheetViews>
    <sheetView zoomScale="90" zoomScaleNormal="90" zoomScalePageLayoutView="0" workbookViewId="0" topLeftCell="A1">
      <selection activeCell="A2" sqref="A2"/>
    </sheetView>
  </sheetViews>
  <sheetFormatPr defaultColWidth="8.8515625" defaultRowHeight="12.75"/>
  <cols>
    <col min="1" max="1" width="7.8515625" style="109" customWidth="1"/>
    <col min="2" max="2" width="22.00390625" style="110" customWidth="1"/>
    <col min="3" max="3" width="20.8515625" style="110" hidden="1" customWidth="1"/>
    <col min="4" max="4" width="9.28125" style="110" customWidth="1"/>
    <col min="5" max="5" width="10.421875" style="110" customWidth="1"/>
    <col min="6" max="6" width="14.28125" style="110" bestFit="1" customWidth="1"/>
    <col min="7" max="7" width="9.57421875" style="110" customWidth="1"/>
    <col min="8" max="18" width="7.7109375" style="110" customWidth="1"/>
    <col min="19" max="19" width="6.7109375" style="110" customWidth="1"/>
    <col min="20" max="20" width="7.8515625" style="110" customWidth="1"/>
    <col min="21" max="21" width="8.28125" style="0" customWidth="1"/>
    <col min="22" max="22" width="8.8515625" style="154" customWidth="1"/>
    <col min="23" max="23" width="8.8515625" style="0" customWidth="1"/>
    <col min="24" max="24" width="14.28125" style="110" hidden="1" customWidth="1"/>
    <col min="25" max="27" width="8.8515625" style="110" hidden="1" customWidth="1"/>
    <col min="28" max="28" width="11.421875" style="110" hidden="1" customWidth="1"/>
    <col min="29" max="29" width="8.8515625" style="0" customWidth="1"/>
    <col min="30" max="30" width="7.00390625" style="110" customWidth="1"/>
    <col min="31" max="31" width="8.8515625" style="110" customWidth="1"/>
    <col min="32" max="32" width="21.28125" style="110" customWidth="1"/>
    <col min="33" max="33" width="9.57421875" style="110" customWidth="1"/>
    <col min="34" max="16384" width="8.8515625" style="110" customWidth="1"/>
  </cols>
  <sheetData>
    <row r="1" spans="1:33" s="109" customFormat="1" ht="42.75" customHeight="1" thickBot="1">
      <c r="A1" s="179" t="s">
        <v>23</v>
      </c>
      <c r="B1" s="180" t="s">
        <v>1</v>
      </c>
      <c r="C1" s="181" t="s">
        <v>1</v>
      </c>
      <c r="D1" s="181" t="s">
        <v>2</v>
      </c>
      <c r="E1" s="182" t="s">
        <v>24</v>
      </c>
      <c r="F1" s="183"/>
      <c r="G1" s="183" t="s">
        <v>25</v>
      </c>
      <c r="H1" s="184" t="s">
        <v>14</v>
      </c>
      <c r="I1" s="185" t="s">
        <v>13</v>
      </c>
      <c r="J1" s="186" t="s">
        <v>16</v>
      </c>
      <c r="K1" s="187" t="s">
        <v>52</v>
      </c>
      <c r="L1" s="188" t="s">
        <v>51</v>
      </c>
      <c r="M1" s="189" t="s">
        <v>21</v>
      </c>
      <c r="N1" s="190" t="s">
        <v>22</v>
      </c>
      <c r="O1" s="191" t="s">
        <v>50</v>
      </c>
      <c r="P1" s="192" t="s">
        <v>4</v>
      </c>
      <c r="Q1" s="193" t="s">
        <v>5</v>
      </c>
      <c r="R1" s="194" t="s">
        <v>3</v>
      </c>
      <c r="S1" s="323" t="s">
        <v>64</v>
      </c>
      <c r="T1" s="202" t="s">
        <v>95</v>
      </c>
      <c r="U1" s="202" t="s">
        <v>60</v>
      </c>
      <c r="V1" s="205" t="s">
        <v>61</v>
      </c>
      <c r="W1" s="203" t="s">
        <v>63</v>
      </c>
      <c r="X1" s="324" t="s">
        <v>93</v>
      </c>
      <c r="Y1" s="324" t="s">
        <v>2</v>
      </c>
      <c r="Z1" s="324" t="s">
        <v>97</v>
      </c>
      <c r="AA1" s="324" t="s">
        <v>89</v>
      </c>
      <c r="AB1" s="324" t="s">
        <v>94</v>
      </c>
      <c r="AC1" s="323" t="s">
        <v>98</v>
      </c>
      <c r="AE1" s="661" t="s">
        <v>108</v>
      </c>
      <c r="AF1" s="662"/>
      <c r="AG1" s="663"/>
    </row>
    <row r="2" spans="1:33" ht="12.75">
      <c r="A2" s="614">
        <v>39</v>
      </c>
      <c r="B2" s="615" t="s">
        <v>82</v>
      </c>
      <c r="C2" s="615" t="str">
        <f>LOWER(B2)</f>
        <v>paul ledwith</v>
      </c>
      <c r="D2" s="616" t="s">
        <v>13</v>
      </c>
      <c r="E2" s="617" t="s">
        <v>453</v>
      </c>
      <c r="F2" s="616"/>
      <c r="G2" s="616" t="s">
        <v>176</v>
      </c>
      <c r="H2" s="618">
        <f>IF($D2=H$1,$S2,"")</f>
      </c>
      <c r="I2" s="618">
        <f aca="true" t="shared" si="0" ref="I2:R2">IF($D2=I$1,$S2,"")</f>
        <v>100</v>
      </c>
      <c r="J2" s="618">
        <f t="shared" si="0"/>
      </c>
      <c r="K2" s="618">
        <f t="shared" si="0"/>
      </c>
      <c r="L2" s="618">
        <f t="shared" si="0"/>
      </c>
      <c r="M2" s="618">
        <f t="shared" si="0"/>
      </c>
      <c r="N2" s="618">
        <f t="shared" si="0"/>
      </c>
      <c r="O2" s="618">
        <f t="shared" si="0"/>
      </c>
      <c r="P2" s="618">
        <f t="shared" si="0"/>
      </c>
      <c r="Q2" s="618">
        <f t="shared" si="0"/>
      </c>
      <c r="R2" s="619">
        <f t="shared" si="0"/>
      </c>
      <c r="S2" s="168">
        <f aca="true" t="shared" si="1" ref="S2:S26">_xlfn.IFERROR(VLOOKUP($Z2,Points2018,2,0),0)</f>
        <v>100</v>
      </c>
      <c r="T2" s="614">
        <f aca="true" t="shared" si="2" ref="T2:T26">AB2-S2</f>
        <v>0</v>
      </c>
      <c r="U2" s="620">
        <f aca="true" t="shared" si="3" ref="U2:U26">_xlfn.IFERROR(VLOOKUP(D2,BenchmarksRd4,3,0)*86400,"")</f>
        <v>109.967</v>
      </c>
      <c r="V2" s="621">
        <f aca="true" t="shared" si="4" ref="V2:V23">(($E2*86400)-U2)</f>
        <v>0.5879999999999939</v>
      </c>
      <c r="W2" s="622">
        <f aca="true" t="shared" si="5" ref="W2:W22">IF(V2&lt;=0,10,IF(V2&lt;1,5,IF(V2&lt;2,0,IF(V2&lt;3,-5,-10))))</f>
        <v>5</v>
      </c>
      <c r="X2" s="217">
        <f aca="true" t="shared" si="6" ref="X2:X26">_xlfn.IFERROR(VLOOKUP(D2,Class2018,4,0),"n/a")</f>
        <v>6</v>
      </c>
      <c r="Y2" s="217">
        <f aca="true" t="shared" si="7" ref="Y2:Y26">_xlfn.IFERROR(VLOOKUP(D2,Class2018,3,0),"n/a")</f>
        <v>10</v>
      </c>
      <c r="Z2" s="217">
        <f>IF($Y2="n/a","",_xlfn.IFERROR(COUNTIF($Y$2:$Y2,"="&amp;Y2),""))</f>
        <v>1</v>
      </c>
      <c r="AA2" s="217">
        <f>COUNTIF($X1:X$2,"&lt;"&amp;X2)</f>
        <v>0</v>
      </c>
      <c r="AB2" s="247">
        <f aca="true" t="shared" si="8" ref="AB2:AB26">IF($Y2="n/a",0,_xlfn.IFERROR(VLOOKUP(Z2+AA2,Points2018,2,0),15))</f>
        <v>100</v>
      </c>
      <c r="AC2" s="474">
        <f aca="true" t="shared" si="9" ref="AC2:AC26">(S2+T2+W2)</f>
        <v>105</v>
      </c>
      <c r="AE2" s="251" t="s">
        <v>3</v>
      </c>
      <c r="AF2" s="420" t="s">
        <v>76</v>
      </c>
      <c r="AG2" s="421">
        <v>0.001427349537037037</v>
      </c>
    </row>
    <row r="3" spans="1:33" ht="12.75">
      <c r="A3" s="382">
        <v>6</v>
      </c>
      <c r="B3" s="383" t="s">
        <v>106</v>
      </c>
      <c r="C3" s="383" t="str">
        <f aca="true" t="shared" si="10" ref="C3:C26">LOWER(B3)</f>
        <v>russell garner</v>
      </c>
      <c r="D3" s="384" t="s">
        <v>16</v>
      </c>
      <c r="E3" s="624" t="s">
        <v>454</v>
      </c>
      <c r="F3" s="354" t="s">
        <v>164</v>
      </c>
      <c r="G3" s="384" t="s">
        <v>176</v>
      </c>
      <c r="H3" s="386">
        <f aca="true" t="shared" si="11" ref="H3:R26">IF($D3=H$1,$S3,"")</f>
      </c>
      <c r="I3" s="386">
        <f t="shared" si="11"/>
      </c>
      <c r="J3" s="386">
        <f t="shared" si="11"/>
        <v>100</v>
      </c>
      <c r="K3" s="386">
        <f t="shared" si="11"/>
      </c>
      <c r="L3" s="386">
        <f t="shared" si="11"/>
      </c>
      <c r="M3" s="386">
        <f t="shared" si="11"/>
      </c>
      <c r="N3" s="386">
        <f t="shared" si="11"/>
      </c>
      <c r="O3" s="386">
        <f t="shared" si="11"/>
      </c>
      <c r="P3" s="386">
        <f t="shared" si="11"/>
      </c>
      <c r="Q3" s="386">
        <f t="shared" si="11"/>
      </c>
      <c r="R3" s="625">
        <f t="shared" si="11"/>
      </c>
      <c r="S3" s="103">
        <f t="shared" si="1"/>
        <v>100</v>
      </c>
      <c r="T3" s="382">
        <f t="shared" si="2"/>
        <v>0</v>
      </c>
      <c r="U3" s="387">
        <f t="shared" si="3"/>
        <v>111.39800000000001</v>
      </c>
      <c r="V3" s="388">
        <f t="shared" si="4"/>
        <v>-0.125</v>
      </c>
      <c r="W3" s="526">
        <f t="shared" si="5"/>
        <v>10</v>
      </c>
      <c r="X3" s="196">
        <f t="shared" si="6"/>
        <v>5</v>
      </c>
      <c r="Y3" s="196">
        <f t="shared" si="7"/>
        <v>9</v>
      </c>
      <c r="Z3" s="196">
        <f>IF($Y3="n/a","",_xlfn.IFERROR(COUNTIF($Y$2:$Y3,"="&amp;Y3),""))</f>
        <v>1</v>
      </c>
      <c r="AA3" s="196">
        <f>COUNTIF($X2:X$2,"&lt;"&amp;X3)</f>
        <v>0</v>
      </c>
      <c r="AB3" s="206">
        <f t="shared" si="8"/>
        <v>100</v>
      </c>
      <c r="AC3" s="345">
        <f t="shared" si="9"/>
        <v>110</v>
      </c>
      <c r="AE3" s="252" t="s">
        <v>5</v>
      </c>
      <c r="AF3" s="346" t="s">
        <v>77</v>
      </c>
      <c r="AG3" s="550">
        <v>0.001422337962962963</v>
      </c>
    </row>
    <row r="4" spans="1:33" ht="12.75">
      <c r="A4" s="103">
        <v>88</v>
      </c>
      <c r="B4" s="114" t="s">
        <v>74</v>
      </c>
      <c r="C4" s="394" t="str">
        <f t="shared" si="10"/>
        <v>randy stagno navarra</v>
      </c>
      <c r="D4" s="344" t="s">
        <v>52</v>
      </c>
      <c r="E4" s="41" t="s">
        <v>455</v>
      </c>
      <c r="F4" s="344"/>
      <c r="G4" s="344" t="s">
        <v>56</v>
      </c>
      <c r="H4" s="396">
        <f t="shared" si="11"/>
      </c>
      <c r="I4" s="396">
        <f t="shared" si="11"/>
      </c>
      <c r="J4" s="396">
        <f t="shared" si="11"/>
      </c>
      <c r="K4" s="396">
        <f t="shared" si="11"/>
        <v>100</v>
      </c>
      <c r="L4" s="396">
        <f t="shared" si="11"/>
      </c>
      <c r="M4" s="396">
        <f t="shared" si="11"/>
      </c>
      <c r="N4" s="396">
        <f t="shared" si="11"/>
      </c>
      <c r="O4" s="396">
        <f t="shared" si="11"/>
      </c>
      <c r="P4" s="396">
        <f t="shared" si="11"/>
      </c>
      <c r="Q4" s="396">
        <f t="shared" si="11"/>
      </c>
      <c r="R4" s="623">
        <f t="shared" si="11"/>
      </c>
      <c r="S4" s="103">
        <f t="shared" si="1"/>
        <v>100</v>
      </c>
      <c r="T4" s="103">
        <f>AB4-S4</f>
        <v>0</v>
      </c>
      <c r="U4" s="397">
        <f t="shared" si="3"/>
        <v>115.63100000000001</v>
      </c>
      <c r="V4" s="398">
        <f t="shared" si="4"/>
        <v>0.05099999999998772</v>
      </c>
      <c r="W4" s="345">
        <f t="shared" si="5"/>
        <v>5</v>
      </c>
      <c r="X4" s="196">
        <f t="shared" si="6"/>
        <v>4</v>
      </c>
      <c r="Y4" s="196">
        <f t="shared" si="7"/>
        <v>8</v>
      </c>
      <c r="Z4" s="196">
        <f>IF($Y4="n/a","",_xlfn.IFERROR(COUNTIF($Y$2:$Y4,"="&amp;Y4),""))</f>
        <v>1</v>
      </c>
      <c r="AA4" s="196">
        <f>COUNTIF($X$2:X3,"&lt;"&amp;X4)</f>
        <v>0</v>
      </c>
      <c r="AB4" s="206">
        <f t="shared" si="8"/>
        <v>100</v>
      </c>
      <c r="AC4" s="345">
        <f t="shared" si="9"/>
        <v>105</v>
      </c>
      <c r="AE4" s="253" t="s">
        <v>4</v>
      </c>
      <c r="AF4" s="141" t="s">
        <v>72</v>
      </c>
      <c r="AG4" s="348">
        <v>0.0013765625000000002</v>
      </c>
    </row>
    <row r="5" spans="1:33" ht="12.75">
      <c r="A5" s="382">
        <v>46</v>
      </c>
      <c r="B5" s="383" t="s">
        <v>177</v>
      </c>
      <c r="C5" s="383" t="str">
        <f t="shared" si="10"/>
        <v>dean watchorn</v>
      </c>
      <c r="D5" s="384" t="s">
        <v>16</v>
      </c>
      <c r="E5" s="153" t="s">
        <v>456</v>
      </c>
      <c r="F5" s="384"/>
      <c r="G5" s="384" t="s">
        <v>56</v>
      </c>
      <c r="H5" s="386">
        <f t="shared" si="11"/>
      </c>
      <c r="I5" s="386">
        <f t="shared" si="11"/>
      </c>
      <c r="J5" s="386">
        <f t="shared" si="11"/>
        <v>75</v>
      </c>
      <c r="K5" s="386">
        <f t="shared" si="11"/>
      </c>
      <c r="L5" s="386">
        <f t="shared" si="11"/>
      </c>
      <c r="M5" s="386">
        <f t="shared" si="11"/>
      </c>
      <c r="N5" s="386">
        <f t="shared" si="11"/>
      </c>
      <c r="O5" s="386">
        <f t="shared" si="11"/>
      </c>
      <c r="P5" s="386">
        <f t="shared" si="11"/>
      </c>
      <c r="Q5" s="386">
        <f t="shared" si="11"/>
      </c>
      <c r="R5" s="625">
        <f t="shared" si="11"/>
      </c>
      <c r="S5" s="103">
        <f t="shared" si="1"/>
        <v>75</v>
      </c>
      <c r="T5" s="382">
        <f>AB5-S5</f>
        <v>-15</v>
      </c>
      <c r="U5" s="387">
        <f t="shared" si="3"/>
        <v>111.39800000000001</v>
      </c>
      <c r="V5" s="388">
        <f t="shared" si="4"/>
        <v>5.337999999999994</v>
      </c>
      <c r="W5" s="526">
        <f t="shared" si="5"/>
        <v>-10</v>
      </c>
      <c r="X5" s="196">
        <f t="shared" si="6"/>
        <v>5</v>
      </c>
      <c r="Y5" s="196">
        <f t="shared" si="7"/>
        <v>9</v>
      </c>
      <c r="Z5" s="196">
        <f>IF($Y5="n/a","",_xlfn.IFERROR(COUNTIF($Y$2:$Y5,"="&amp;Y5),""))</f>
        <v>2</v>
      </c>
      <c r="AA5" s="196">
        <f>COUNTIF($X$2:X4,"&lt;"&amp;X5)</f>
        <v>1</v>
      </c>
      <c r="AB5" s="206">
        <f t="shared" si="8"/>
        <v>60</v>
      </c>
      <c r="AC5" s="345">
        <f t="shared" si="9"/>
        <v>50</v>
      </c>
      <c r="AE5" s="254" t="s">
        <v>50</v>
      </c>
      <c r="AF5" s="134" t="s">
        <v>74</v>
      </c>
      <c r="AG5" s="349">
        <v>0.0013754282407407406</v>
      </c>
    </row>
    <row r="6" spans="1:33" ht="12.75">
      <c r="A6" s="105">
        <v>141</v>
      </c>
      <c r="B6" s="35" t="s">
        <v>111</v>
      </c>
      <c r="C6" s="35" t="str">
        <f t="shared" si="10"/>
        <v>max lloyd</v>
      </c>
      <c r="D6" s="36" t="s">
        <v>21</v>
      </c>
      <c r="E6" s="543" t="s">
        <v>457</v>
      </c>
      <c r="F6" s="36"/>
      <c r="G6" s="36" t="s">
        <v>56</v>
      </c>
      <c r="H6" s="249">
        <f t="shared" si="11"/>
      </c>
      <c r="I6" s="249">
        <f t="shared" si="11"/>
      </c>
      <c r="J6" s="249">
        <f t="shared" si="11"/>
      </c>
      <c r="K6" s="249">
        <f t="shared" si="11"/>
      </c>
      <c r="L6" s="249">
        <f t="shared" si="11"/>
      </c>
      <c r="M6" s="249">
        <f t="shared" si="11"/>
        <v>100</v>
      </c>
      <c r="N6" s="249">
        <f t="shared" si="11"/>
      </c>
      <c r="O6" s="249">
        <f t="shared" si="11"/>
      </c>
      <c r="P6" s="249">
        <f t="shared" si="11"/>
      </c>
      <c r="Q6" s="249">
        <f t="shared" si="11"/>
      </c>
      <c r="R6" s="268">
        <f t="shared" si="11"/>
      </c>
      <c r="S6" s="103">
        <f t="shared" si="1"/>
        <v>100</v>
      </c>
      <c r="T6" s="105">
        <f t="shared" si="2"/>
        <v>0</v>
      </c>
      <c r="U6" s="214">
        <f t="shared" si="3"/>
        <v>120.58200000000001</v>
      </c>
      <c r="V6" s="208">
        <f t="shared" si="4"/>
        <v>0.7399999999999807</v>
      </c>
      <c r="W6" s="106">
        <f t="shared" si="5"/>
        <v>5</v>
      </c>
      <c r="X6" s="196">
        <f t="shared" si="6"/>
        <v>2</v>
      </c>
      <c r="Y6" s="196">
        <f t="shared" si="7"/>
        <v>4</v>
      </c>
      <c r="Z6" s="196">
        <f>IF($Y6="n/a","",_xlfn.IFERROR(COUNTIF($Y$2:$Y6,"="&amp;Y6),""))</f>
        <v>1</v>
      </c>
      <c r="AA6" s="196">
        <f>COUNTIF($X$2:X5,"&lt;"&amp;X6)</f>
        <v>0</v>
      </c>
      <c r="AB6" s="206">
        <f t="shared" si="8"/>
        <v>100</v>
      </c>
      <c r="AC6" s="345">
        <f t="shared" si="9"/>
        <v>105</v>
      </c>
      <c r="AE6" s="255" t="s">
        <v>22</v>
      </c>
      <c r="AF6" s="160" t="s">
        <v>76</v>
      </c>
      <c r="AG6" s="350">
        <v>0.0014134722222222222</v>
      </c>
    </row>
    <row r="7" spans="1:33" ht="12.75">
      <c r="A7" s="105">
        <v>62</v>
      </c>
      <c r="B7" s="35" t="s">
        <v>75</v>
      </c>
      <c r="C7" s="35" t="str">
        <f t="shared" si="10"/>
        <v>noel heritage</v>
      </c>
      <c r="D7" s="36" t="s">
        <v>21</v>
      </c>
      <c r="E7" s="543" t="s">
        <v>458</v>
      </c>
      <c r="F7" s="36"/>
      <c r="G7" s="36" t="s">
        <v>176</v>
      </c>
      <c r="H7" s="249">
        <f t="shared" si="11"/>
      </c>
      <c r="I7" s="249">
        <f t="shared" si="11"/>
      </c>
      <c r="J7" s="249">
        <f t="shared" si="11"/>
      </c>
      <c r="K7" s="249">
        <f t="shared" si="11"/>
      </c>
      <c r="L7" s="249">
        <f t="shared" si="11"/>
      </c>
      <c r="M7" s="249">
        <f t="shared" si="11"/>
        <v>75</v>
      </c>
      <c r="N7" s="249">
        <f t="shared" si="11"/>
      </c>
      <c r="O7" s="249">
        <f t="shared" si="11"/>
      </c>
      <c r="P7" s="249">
        <f t="shared" si="11"/>
      </c>
      <c r="Q7" s="249">
        <f t="shared" si="11"/>
      </c>
      <c r="R7" s="268">
        <f t="shared" si="11"/>
      </c>
      <c r="S7" s="103">
        <f t="shared" si="1"/>
        <v>75</v>
      </c>
      <c r="T7" s="105">
        <f t="shared" si="2"/>
        <v>0</v>
      </c>
      <c r="U7" s="214">
        <f t="shared" si="3"/>
        <v>120.58200000000001</v>
      </c>
      <c r="V7" s="208">
        <f t="shared" si="4"/>
        <v>0.8319999999999794</v>
      </c>
      <c r="W7" s="106">
        <f t="shared" si="5"/>
        <v>5</v>
      </c>
      <c r="X7" s="196">
        <f t="shared" si="6"/>
        <v>2</v>
      </c>
      <c r="Y7" s="196">
        <f t="shared" si="7"/>
        <v>4</v>
      </c>
      <c r="Z7" s="196">
        <f>IF($Y7="n/a","",_xlfn.IFERROR(COUNTIF($Y$2:$Y7,"="&amp;Y7),""))</f>
        <v>2</v>
      </c>
      <c r="AA7" s="196">
        <f>COUNTIF($X$2:X6,"&lt;"&amp;X7)</f>
        <v>0</v>
      </c>
      <c r="AB7" s="206">
        <f t="shared" si="8"/>
        <v>75</v>
      </c>
      <c r="AC7" s="345">
        <f t="shared" si="9"/>
        <v>80</v>
      </c>
      <c r="AE7" s="256" t="s">
        <v>21</v>
      </c>
      <c r="AF7" s="44" t="s">
        <v>111</v>
      </c>
      <c r="AG7" s="551">
        <v>0.0013956250000000002</v>
      </c>
    </row>
    <row r="8" spans="1:33" ht="12.75">
      <c r="A8" s="281">
        <v>16</v>
      </c>
      <c r="B8" s="142" t="s">
        <v>459</v>
      </c>
      <c r="C8" s="142" t="str">
        <f t="shared" si="10"/>
        <v>hung do</v>
      </c>
      <c r="D8" s="418" t="s">
        <v>4</v>
      </c>
      <c r="E8" s="540" t="s">
        <v>460</v>
      </c>
      <c r="F8" s="418"/>
      <c r="G8" s="418" t="s">
        <v>176</v>
      </c>
      <c r="H8" s="279">
        <f t="shared" si="11"/>
      </c>
      <c r="I8" s="279">
        <f t="shared" si="11"/>
      </c>
      <c r="J8" s="279">
        <f t="shared" si="11"/>
      </c>
      <c r="K8" s="279">
        <f t="shared" si="11"/>
      </c>
      <c r="L8" s="279">
        <f t="shared" si="11"/>
      </c>
      <c r="M8" s="279">
        <f t="shared" si="11"/>
      </c>
      <c r="N8" s="279">
        <f t="shared" si="11"/>
      </c>
      <c r="O8" s="279">
        <f t="shared" si="11"/>
      </c>
      <c r="P8" s="279">
        <f t="shared" si="11"/>
        <v>100</v>
      </c>
      <c r="Q8" s="279">
        <f t="shared" si="11"/>
      </c>
      <c r="R8" s="280">
        <f t="shared" si="11"/>
      </c>
      <c r="S8" s="103">
        <f t="shared" si="1"/>
        <v>100</v>
      </c>
      <c r="T8" s="281">
        <f t="shared" si="2"/>
        <v>-40</v>
      </c>
      <c r="U8" s="282">
        <f t="shared" si="3"/>
        <v>118.93500000000002</v>
      </c>
      <c r="V8" s="283">
        <f t="shared" si="4"/>
        <v>3.035999999999973</v>
      </c>
      <c r="W8" s="284">
        <f t="shared" si="5"/>
        <v>-10</v>
      </c>
      <c r="X8" s="196">
        <f t="shared" si="6"/>
        <v>3</v>
      </c>
      <c r="Y8" s="196">
        <f t="shared" si="7"/>
        <v>5</v>
      </c>
      <c r="Z8" s="196">
        <f>IF($Y8="n/a","",_xlfn.IFERROR(COUNTIF($Y$2:$Y8,"="&amp;Y8),""))</f>
        <v>1</v>
      </c>
      <c r="AA8" s="196">
        <f>COUNTIF($X$2:X7,"&lt;"&amp;X8)</f>
        <v>2</v>
      </c>
      <c r="AB8" s="206">
        <f t="shared" si="8"/>
        <v>60</v>
      </c>
      <c r="AC8" s="345">
        <f t="shared" si="9"/>
        <v>50</v>
      </c>
      <c r="AE8" s="257" t="s">
        <v>51</v>
      </c>
      <c r="AF8" s="351" t="s">
        <v>88</v>
      </c>
      <c r="AG8" s="552">
        <v>0.0013621296296296296</v>
      </c>
    </row>
    <row r="9" spans="1:33" ht="12.75">
      <c r="A9" s="347">
        <v>48</v>
      </c>
      <c r="B9" s="1" t="s">
        <v>390</v>
      </c>
      <c r="C9" s="1" t="str">
        <f t="shared" si="10"/>
        <v>justin reynolds</v>
      </c>
      <c r="D9" s="8" t="s">
        <v>26</v>
      </c>
      <c r="E9" s="17" t="s">
        <v>461</v>
      </c>
      <c r="F9" s="8"/>
      <c r="G9" s="8" t="s">
        <v>87</v>
      </c>
      <c r="H9" s="248">
        <f t="shared" si="11"/>
      </c>
      <c r="I9" s="248">
        <f t="shared" si="11"/>
      </c>
      <c r="J9" s="248">
        <f t="shared" si="11"/>
      </c>
      <c r="K9" s="248">
        <f t="shared" si="11"/>
      </c>
      <c r="L9" s="248">
        <f t="shared" si="11"/>
      </c>
      <c r="M9" s="248">
        <f t="shared" si="11"/>
      </c>
      <c r="N9" s="248">
        <f t="shared" si="11"/>
      </c>
      <c r="O9" s="248">
        <f t="shared" si="11"/>
      </c>
      <c r="P9" s="248">
        <f t="shared" si="11"/>
      </c>
      <c r="Q9" s="248">
        <f t="shared" si="11"/>
      </c>
      <c r="R9" s="269">
        <f t="shared" si="11"/>
      </c>
      <c r="S9" s="103">
        <f t="shared" si="1"/>
        <v>0</v>
      </c>
      <c r="T9" s="195"/>
      <c r="U9" s="155">
        <f t="shared" si="3"/>
      </c>
      <c r="V9" s="209"/>
      <c r="W9" s="104"/>
      <c r="X9" s="196" t="str">
        <f t="shared" si="6"/>
        <v>n/a</v>
      </c>
      <c r="Y9" s="196" t="str">
        <f t="shared" si="7"/>
        <v>n/a</v>
      </c>
      <c r="Z9" s="196">
        <f>IF($Y9="n/a","",_xlfn.IFERROR(COUNTIF($Y$2:$Y9,"="&amp;Y9),""))</f>
      </c>
      <c r="AA9" s="196">
        <f>COUNTIF($X$2:X8,"&lt;"&amp;X9)</f>
        <v>0</v>
      </c>
      <c r="AB9" s="206">
        <f t="shared" si="8"/>
        <v>0</v>
      </c>
      <c r="AC9" s="345">
        <f t="shared" si="9"/>
        <v>0</v>
      </c>
      <c r="AE9" s="258" t="s">
        <v>52</v>
      </c>
      <c r="AF9" s="352" t="s">
        <v>74</v>
      </c>
      <c r="AG9" s="353">
        <v>0.0013383217592592594</v>
      </c>
    </row>
    <row r="10" spans="1:33" ht="12.75">
      <c r="A10" s="409">
        <v>15</v>
      </c>
      <c r="B10" s="135" t="s">
        <v>133</v>
      </c>
      <c r="C10" s="135" t="str">
        <f t="shared" si="10"/>
        <v>david adam</v>
      </c>
      <c r="D10" s="410" t="s">
        <v>50</v>
      </c>
      <c r="E10" s="626" t="s">
        <v>462</v>
      </c>
      <c r="F10" s="410"/>
      <c r="G10" s="410" t="s">
        <v>87</v>
      </c>
      <c r="H10" s="412">
        <f t="shared" si="11"/>
      </c>
      <c r="I10" s="412">
        <f t="shared" si="11"/>
      </c>
      <c r="J10" s="412">
        <f t="shared" si="11"/>
      </c>
      <c r="K10" s="412">
        <f t="shared" si="11"/>
      </c>
      <c r="L10" s="412">
        <f t="shared" si="11"/>
      </c>
      <c r="M10" s="412">
        <f t="shared" si="11"/>
      </c>
      <c r="N10" s="412">
        <f t="shared" si="11"/>
      </c>
      <c r="O10" s="412">
        <f t="shared" si="11"/>
        <v>100</v>
      </c>
      <c r="P10" s="412">
        <f t="shared" si="11"/>
      </c>
      <c r="Q10" s="412">
        <f t="shared" si="11"/>
      </c>
      <c r="R10" s="627">
        <f t="shared" si="11"/>
      </c>
      <c r="S10" s="103">
        <f t="shared" si="1"/>
        <v>100</v>
      </c>
      <c r="T10" s="409">
        <f t="shared" si="2"/>
        <v>-40</v>
      </c>
      <c r="U10" s="413">
        <f t="shared" si="3"/>
        <v>118.83699999999999</v>
      </c>
      <c r="V10" s="414">
        <f t="shared" si="4"/>
        <v>3.7890000000000015</v>
      </c>
      <c r="W10" s="585">
        <f t="shared" si="5"/>
        <v>-10</v>
      </c>
      <c r="X10" s="196">
        <f t="shared" si="6"/>
        <v>3</v>
      </c>
      <c r="Y10" s="196">
        <f t="shared" si="7"/>
        <v>6</v>
      </c>
      <c r="Z10" s="196">
        <f>IF($Y10="n/a","",_xlfn.IFERROR(COUNTIF($Y$2:$Y10,"="&amp;Y10),""))</f>
        <v>1</v>
      </c>
      <c r="AA10" s="196">
        <f>COUNTIF($X$2:X9,"&lt;"&amp;X10)</f>
        <v>2</v>
      </c>
      <c r="AB10" s="206">
        <f t="shared" si="8"/>
        <v>60</v>
      </c>
      <c r="AC10" s="345">
        <f t="shared" si="9"/>
        <v>50</v>
      </c>
      <c r="AE10" s="259" t="s">
        <v>16</v>
      </c>
      <c r="AF10" s="354" t="s">
        <v>106</v>
      </c>
      <c r="AG10" s="355">
        <v>0.0012893287037037038</v>
      </c>
    </row>
    <row r="11" spans="1:33" ht="12.75">
      <c r="A11" s="107">
        <v>82</v>
      </c>
      <c r="B11" s="47" t="s">
        <v>80</v>
      </c>
      <c r="C11" s="47" t="str">
        <f t="shared" si="10"/>
        <v>steve williamsz</v>
      </c>
      <c r="D11" s="48" t="s">
        <v>5</v>
      </c>
      <c r="E11" s="546" t="s">
        <v>463</v>
      </c>
      <c r="F11" s="48"/>
      <c r="G11" s="48" t="s">
        <v>87</v>
      </c>
      <c r="H11" s="250">
        <f t="shared" si="11"/>
      </c>
      <c r="I11" s="250">
        <f t="shared" si="11"/>
      </c>
      <c r="J11" s="250">
        <f t="shared" si="11"/>
      </c>
      <c r="K11" s="250">
        <f t="shared" si="11"/>
      </c>
      <c r="L11" s="250">
        <f t="shared" si="11"/>
      </c>
      <c r="M11" s="250">
        <f t="shared" si="11"/>
      </c>
      <c r="N11" s="250">
        <f t="shared" si="11"/>
      </c>
      <c r="O11" s="250">
        <f t="shared" si="11"/>
      </c>
      <c r="P11" s="250">
        <f t="shared" si="11"/>
      </c>
      <c r="Q11" s="250">
        <f t="shared" si="11"/>
        <v>100</v>
      </c>
      <c r="R11" s="270">
        <f t="shared" si="11"/>
      </c>
      <c r="S11" s="103">
        <f t="shared" si="1"/>
        <v>100</v>
      </c>
      <c r="T11" s="107">
        <f t="shared" si="2"/>
        <v>0</v>
      </c>
      <c r="U11" s="215">
        <f t="shared" si="3"/>
        <v>122.89</v>
      </c>
      <c r="V11" s="210">
        <f t="shared" si="4"/>
        <v>0.6500000000000057</v>
      </c>
      <c r="W11" s="108">
        <f t="shared" si="5"/>
        <v>5</v>
      </c>
      <c r="X11" s="196">
        <f t="shared" si="6"/>
        <v>1</v>
      </c>
      <c r="Y11" s="196">
        <f t="shared" si="7"/>
        <v>2</v>
      </c>
      <c r="Z11" s="196">
        <f>IF($Y11="n/a","",_xlfn.IFERROR(COUNTIF($Y$2:$Y11,"="&amp;Y11),""))</f>
        <v>1</v>
      </c>
      <c r="AA11" s="196">
        <f>COUNTIF($X$2:X10,"&lt;"&amp;X11)</f>
        <v>0</v>
      </c>
      <c r="AB11" s="206">
        <f t="shared" si="8"/>
        <v>100</v>
      </c>
      <c r="AC11" s="345">
        <f t="shared" si="9"/>
        <v>105</v>
      </c>
      <c r="AE11" s="260" t="s">
        <v>13</v>
      </c>
      <c r="AF11" s="356" t="s">
        <v>82</v>
      </c>
      <c r="AG11" s="357">
        <v>0.0012727662037037037</v>
      </c>
    </row>
    <row r="12" spans="1:33" ht="13.5" thickBot="1">
      <c r="A12" s="347">
        <v>195</v>
      </c>
      <c r="B12" s="1" t="s">
        <v>169</v>
      </c>
      <c r="C12" s="1" t="str">
        <f t="shared" si="10"/>
        <v>tim emery</v>
      </c>
      <c r="D12" s="8" t="s">
        <v>26</v>
      </c>
      <c r="E12" s="17" t="s">
        <v>464</v>
      </c>
      <c r="F12" s="8"/>
      <c r="G12" s="8" t="s">
        <v>56</v>
      </c>
      <c r="H12" s="248">
        <f t="shared" si="11"/>
      </c>
      <c r="I12" s="248">
        <f t="shared" si="11"/>
      </c>
      <c r="J12" s="248">
        <f t="shared" si="11"/>
      </c>
      <c r="K12" s="248">
        <f t="shared" si="11"/>
      </c>
      <c r="L12" s="248">
        <f t="shared" si="11"/>
      </c>
      <c r="M12" s="248">
        <f t="shared" si="11"/>
      </c>
      <c r="N12" s="248">
        <f t="shared" si="11"/>
      </c>
      <c r="O12" s="248">
        <f t="shared" si="11"/>
      </c>
      <c r="P12" s="248">
        <f t="shared" si="11"/>
      </c>
      <c r="Q12" s="248">
        <f t="shared" si="11"/>
      </c>
      <c r="R12" s="269">
        <f t="shared" si="11"/>
      </c>
      <c r="S12" s="103">
        <f t="shared" si="1"/>
        <v>0</v>
      </c>
      <c r="T12" s="195">
        <f t="shared" si="2"/>
        <v>0</v>
      </c>
      <c r="U12" s="155">
        <f t="shared" si="3"/>
      </c>
      <c r="V12" s="209"/>
      <c r="W12" s="104"/>
      <c r="X12" s="196" t="str">
        <f t="shared" si="6"/>
        <v>n/a</v>
      </c>
      <c r="Y12" s="196" t="str">
        <f t="shared" si="7"/>
        <v>n/a</v>
      </c>
      <c r="Z12" s="196">
        <f>IF($Y12="n/a","",_xlfn.IFERROR(COUNTIF($Y$2:$Y12,"="&amp;Y12),""))</f>
      </c>
      <c r="AA12" s="196">
        <f>COUNTIF($X$2:X11,"&lt;"&amp;X12)</f>
        <v>0</v>
      </c>
      <c r="AB12" s="206">
        <f t="shared" si="8"/>
        <v>0</v>
      </c>
      <c r="AC12" s="345">
        <f t="shared" si="9"/>
        <v>0</v>
      </c>
      <c r="AE12" s="261" t="s">
        <v>14</v>
      </c>
      <c r="AF12" s="553" t="s">
        <v>107</v>
      </c>
      <c r="AG12" s="554">
        <v>0.0012022337962962963</v>
      </c>
    </row>
    <row r="13" spans="1:29" ht="12.75">
      <c r="A13" s="347">
        <v>612</v>
      </c>
      <c r="B13" s="1" t="s">
        <v>77</v>
      </c>
      <c r="C13" s="1" t="str">
        <f t="shared" si="10"/>
        <v>gareth pedley</v>
      </c>
      <c r="D13" s="8" t="s">
        <v>26</v>
      </c>
      <c r="E13" s="17" t="s">
        <v>465</v>
      </c>
      <c r="F13" s="8"/>
      <c r="G13" s="8" t="s">
        <v>176</v>
      </c>
      <c r="H13" s="248">
        <f t="shared" si="11"/>
      </c>
      <c r="I13" s="248">
        <f t="shared" si="11"/>
      </c>
      <c r="J13" s="248">
        <f t="shared" si="11"/>
      </c>
      <c r="K13" s="248">
        <f t="shared" si="11"/>
      </c>
      <c r="L13" s="248">
        <f t="shared" si="11"/>
      </c>
      <c r="M13" s="248">
        <f t="shared" si="11"/>
      </c>
      <c r="N13" s="248">
        <f t="shared" si="11"/>
      </c>
      <c r="O13" s="248">
        <f t="shared" si="11"/>
      </c>
      <c r="P13" s="248">
        <f t="shared" si="11"/>
      </c>
      <c r="Q13" s="248">
        <f t="shared" si="11"/>
      </c>
      <c r="R13" s="269">
        <f t="shared" si="11"/>
      </c>
      <c r="S13" s="103">
        <f t="shared" si="1"/>
        <v>0</v>
      </c>
      <c r="T13" s="195">
        <f t="shared" si="2"/>
        <v>0</v>
      </c>
      <c r="U13" s="155">
        <f t="shared" si="3"/>
      </c>
      <c r="V13" s="209"/>
      <c r="W13" s="104"/>
      <c r="X13" s="196" t="str">
        <f t="shared" si="6"/>
        <v>n/a</v>
      </c>
      <c r="Y13" s="196" t="str">
        <f t="shared" si="7"/>
        <v>n/a</v>
      </c>
      <c r="Z13" s="196">
        <f>IF($Y13="n/a","",_xlfn.IFERROR(COUNTIF($Y$2:$Y13,"="&amp;Y13),""))</f>
      </c>
      <c r="AA13" s="196">
        <f>COUNTIF($X$2:X6,"&lt;"&amp;X13)</f>
        <v>0</v>
      </c>
      <c r="AB13" s="206">
        <f t="shared" si="8"/>
        <v>0</v>
      </c>
      <c r="AC13" s="345">
        <f t="shared" si="9"/>
        <v>0</v>
      </c>
    </row>
    <row r="14" spans="1:29" ht="12">
      <c r="A14" s="347">
        <v>18</v>
      </c>
      <c r="B14" s="1" t="s">
        <v>449</v>
      </c>
      <c r="C14" s="1" t="str">
        <f t="shared" si="10"/>
        <v>tom whelan</v>
      </c>
      <c r="D14" s="8" t="s">
        <v>26</v>
      </c>
      <c r="E14" s="17" t="s">
        <v>466</v>
      </c>
      <c r="F14" s="8"/>
      <c r="G14" s="8" t="s">
        <v>87</v>
      </c>
      <c r="H14" s="248">
        <f t="shared" si="11"/>
      </c>
      <c r="I14" s="248">
        <f t="shared" si="11"/>
      </c>
      <c r="J14" s="248">
        <f t="shared" si="11"/>
      </c>
      <c r="K14" s="248">
        <f t="shared" si="11"/>
      </c>
      <c r="L14" s="248">
        <f t="shared" si="11"/>
      </c>
      <c r="M14" s="248">
        <f t="shared" si="11"/>
      </c>
      <c r="N14" s="248">
        <f t="shared" si="11"/>
      </c>
      <c r="O14" s="248">
        <f t="shared" si="11"/>
      </c>
      <c r="P14" s="248">
        <f t="shared" si="11"/>
      </c>
      <c r="Q14" s="248">
        <f t="shared" si="11"/>
      </c>
      <c r="R14" s="269">
        <f t="shared" si="11"/>
      </c>
      <c r="S14" s="103">
        <f t="shared" si="1"/>
        <v>0</v>
      </c>
      <c r="T14" s="195">
        <f t="shared" si="2"/>
        <v>0</v>
      </c>
      <c r="U14" s="155">
        <f t="shared" si="3"/>
      </c>
      <c r="V14" s="209"/>
      <c r="W14" s="104"/>
      <c r="X14" s="196" t="str">
        <f t="shared" si="6"/>
        <v>n/a</v>
      </c>
      <c r="Y14" s="196" t="str">
        <f t="shared" si="7"/>
        <v>n/a</v>
      </c>
      <c r="Z14" s="196">
        <f>IF($Y14="n/a","",_xlfn.IFERROR(COUNTIF($Y$2:$Y14,"="&amp;Y14),""))</f>
      </c>
      <c r="AA14" s="196">
        <f>COUNTIF($X$2:X3,"&lt;"&amp;X14)</f>
        <v>0</v>
      </c>
      <c r="AB14" s="206">
        <f t="shared" si="8"/>
        <v>0</v>
      </c>
      <c r="AC14" s="345">
        <f t="shared" si="9"/>
        <v>0</v>
      </c>
    </row>
    <row r="15" spans="1:29" ht="12">
      <c r="A15" s="347">
        <v>42</v>
      </c>
      <c r="B15" s="1" t="s">
        <v>467</v>
      </c>
      <c r="C15" s="1" t="str">
        <f t="shared" si="10"/>
        <v>steven cassar</v>
      </c>
      <c r="D15" s="8" t="s">
        <v>26</v>
      </c>
      <c r="E15" s="17" t="s">
        <v>468</v>
      </c>
      <c r="F15" s="8"/>
      <c r="G15" s="8" t="s">
        <v>87</v>
      </c>
      <c r="H15" s="248">
        <f t="shared" si="11"/>
      </c>
      <c r="I15" s="248">
        <f t="shared" si="11"/>
      </c>
      <c r="J15" s="248">
        <f t="shared" si="11"/>
      </c>
      <c r="K15" s="248">
        <f t="shared" si="11"/>
      </c>
      <c r="L15" s="248">
        <f t="shared" si="11"/>
      </c>
      <c r="M15" s="248">
        <f t="shared" si="11"/>
      </c>
      <c r="N15" s="248">
        <f t="shared" si="11"/>
      </c>
      <c r="O15" s="248">
        <f t="shared" si="11"/>
      </c>
      <c r="P15" s="248">
        <f t="shared" si="11"/>
      </c>
      <c r="Q15" s="248">
        <f t="shared" si="11"/>
      </c>
      <c r="R15" s="269">
        <f t="shared" si="11"/>
      </c>
      <c r="S15" s="103">
        <f t="shared" si="1"/>
        <v>0</v>
      </c>
      <c r="T15" s="195">
        <f t="shared" si="2"/>
        <v>0</v>
      </c>
      <c r="U15" s="155">
        <f t="shared" si="3"/>
      </c>
      <c r="V15" s="209"/>
      <c r="W15" s="104"/>
      <c r="X15" s="196" t="str">
        <f aca="true" t="shared" si="12" ref="X15:X23">_xlfn.IFERROR(VLOOKUP(D15,Class2018,4,0),"n/a")</f>
        <v>n/a</v>
      </c>
      <c r="Y15" s="196" t="str">
        <f aca="true" t="shared" si="13" ref="Y15:Y23">_xlfn.IFERROR(VLOOKUP(D15,Class2018,3,0),"n/a")</f>
        <v>n/a</v>
      </c>
      <c r="Z15" s="196">
        <f>IF($Y15="n/a","",_xlfn.IFERROR(COUNTIF($Y$2:$Y15,"="&amp;Y15),""))</f>
      </c>
      <c r="AA15" s="196">
        <f>COUNTIF($X$2:X14,"&lt;"&amp;X15)</f>
        <v>0</v>
      </c>
      <c r="AB15" s="206">
        <f aca="true" t="shared" si="14" ref="AB15:AB23">IF($Y15="n/a",0,_xlfn.IFERROR(VLOOKUP(Z15+AA15,Points2018,2,0),15))</f>
        <v>0</v>
      </c>
      <c r="AC15" s="345">
        <f t="shared" si="9"/>
        <v>0</v>
      </c>
    </row>
    <row r="16" spans="1:29" ht="12">
      <c r="A16" s="347">
        <v>242</v>
      </c>
      <c r="B16" s="1" t="s">
        <v>105</v>
      </c>
      <c r="C16" s="1" t="str">
        <f t="shared" si="10"/>
        <v>leon bogers</v>
      </c>
      <c r="D16" s="8" t="s">
        <v>26</v>
      </c>
      <c r="E16" s="17" t="s">
        <v>469</v>
      </c>
      <c r="F16" s="8"/>
      <c r="G16" s="8" t="s">
        <v>56</v>
      </c>
      <c r="H16" s="248">
        <f t="shared" si="11"/>
      </c>
      <c r="I16" s="248">
        <f t="shared" si="11"/>
      </c>
      <c r="J16" s="248">
        <f t="shared" si="11"/>
      </c>
      <c r="K16" s="248">
        <f t="shared" si="11"/>
      </c>
      <c r="L16" s="248">
        <f t="shared" si="11"/>
      </c>
      <c r="M16" s="248">
        <f t="shared" si="11"/>
      </c>
      <c r="N16" s="248">
        <f t="shared" si="11"/>
      </c>
      <c r="O16" s="248">
        <f t="shared" si="11"/>
      </c>
      <c r="P16" s="248">
        <f t="shared" si="11"/>
      </c>
      <c r="Q16" s="248">
        <f t="shared" si="11"/>
      </c>
      <c r="R16" s="269">
        <f t="shared" si="11"/>
      </c>
      <c r="S16" s="103">
        <f t="shared" si="1"/>
        <v>0</v>
      </c>
      <c r="T16" s="195">
        <f t="shared" si="2"/>
        <v>0</v>
      </c>
      <c r="U16" s="155">
        <f t="shared" si="3"/>
      </c>
      <c r="V16" s="209"/>
      <c r="W16" s="104"/>
      <c r="X16" s="196" t="str">
        <f t="shared" si="12"/>
        <v>n/a</v>
      </c>
      <c r="Y16" s="196" t="str">
        <f t="shared" si="13"/>
        <v>n/a</v>
      </c>
      <c r="Z16" s="196">
        <f>IF($Y16="n/a","",_xlfn.IFERROR(COUNTIF($Y$2:$Y16,"="&amp;Y16),""))</f>
      </c>
      <c r="AA16" s="196">
        <f>COUNTIF($X$2:X5,"&lt;"&amp;X16)</f>
        <v>0</v>
      </c>
      <c r="AB16" s="206">
        <f t="shared" si="14"/>
        <v>0</v>
      </c>
      <c r="AC16" s="345">
        <f t="shared" si="9"/>
        <v>0</v>
      </c>
    </row>
    <row r="17" spans="1:29" ht="12">
      <c r="A17" s="404">
        <v>55</v>
      </c>
      <c r="B17" s="405" t="s">
        <v>180</v>
      </c>
      <c r="C17" s="405" t="str">
        <f t="shared" si="10"/>
        <v>kutay dal</v>
      </c>
      <c r="D17" s="406" t="s">
        <v>3</v>
      </c>
      <c r="E17" s="528" t="s">
        <v>470</v>
      </c>
      <c r="F17" s="406"/>
      <c r="G17" s="406" t="s">
        <v>87</v>
      </c>
      <c r="H17" s="408">
        <f t="shared" si="11"/>
      </c>
      <c r="I17" s="408">
        <f t="shared" si="11"/>
      </c>
      <c r="J17" s="408">
        <f t="shared" si="11"/>
      </c>
      <c r="K17" s="408">
        <f t="shared" si="11"/>
      </c>
      <c r="L17" s="408">
        <f t="shared" si="11"/>
      </c>
      <c r="M17" s="408">
        <f t="shared" si="11"/>
      </c>
      <c r="N17" s="408">
        <f t="shared" si="11"/>
      </c>
      <c r="O17" s="408">
        <f t="shared" si="11"/>
      </c>
      <c r="P17" s="408">
        <f t="shared" si="11"/>
      </c>
      <c r="Q17" s="408">
        <f t="shared" si="11"/>
      </c>
      <c r="R17" s="628">
        <f t="shared" si="11"/>
        <v>100</v>
      </c>
      <c r="S17" s="103">
        <f t="shared" si="1"/>
        <v>100</v>
      </c>
      <c r="T17" s="404">
        <f t="shared" si="2"/>
        <v>0</v>
      </c>
      <c r="U17" s="416">
        <f t="shared" si="3"/>
        <v>123.32300000000001</v>
      </c>
      <c r="V17" s="417">
        <f t="shared" si="4"/>
        <v>3.4750000000000227</v>
      </c>
      <c r="W17" s="530">
        <f t="shared" si="5"/>
        <v>-10</v>
      </c>
      <c r="X17" s="196">
        <f t="shared" si="12"/>
        <v>1</v>
      </c>
      <c r="Y17" s="196">
        <f t="shared" si="13"/>
        <v>1</v>
      </c>
      <c r="Z17" s="196">
        <f>IF($Y17="n/a","",_xlfn.IFERROR(COUNTIF($Y$2:$Y17,"="&amp;Y17),""))</f>
        <v>1</v>
      </c>
      <c r="AA17" s="196">
        <f>COUNTIF($X$2:X16,"&lt;"&amp;X17)</f>
        <v>0</v>
      </c>
      <c r="AB17" s="206">
        <f t="shared" si="14"/>
        <v>100</v>
      </c>
      <c r="AC17" s="345">
        <f t="shared" si="9"/>
        <v>90</v>
      </c>
    </row>
    <row r="18" spans="1:29" ht="12">
      <c r="A18" s="347">
        <v>45</v>
      </c>
      <c r="B18" s="1" t="s">
        <v>471</v>
      </c>
      <c r="C18" s="1" t="str">
        <f t="shared" si="10"/>
        <v>sean kent</v>
      </c>
      <c r="D18" s="8" t="s">
        <v>26</v>
      </c>
      <c r="E18" s="17" t="s">
        <v>472</v>
      </c>
      <c r="F18" s="8"/>
      <c r="G18" s="8" t="s">
        <v>87</v>
      </c>
      <c r="H18" s="248">
        <f t="shared" si="11"/>
      </c>
      <c r="I18" s="248">
        <f t="shared" si="11"/>
      </c>
      <c r="J18" s="248">
        <f t="shared" si="11"/>
      </c>
      <c r="K18" s="248">
        <f t="shared" si="11"/>
      </c>
      <c r="L18" s="248">
        <f t="shared" si="11"/>
      </c>
      <c r="M18" s="248">
        <f t="shared" si="11"/>
      </c>
      <c r="N18" s="248">
        <f t="shared" si="11"/>
      </c>
      <c r="O18" s="248">
        <f t="shared" si="11"/>
      </c>
      <c r="P18" s="248">
        <f t="shared" si="11"/>
      </c>
      <c r="Q18" s="248">
        <f t="shared" si="11"/>
      </c>
      <c r="R18" s="269">
        <f t="shared" si="11"/>
      </c>
      <c r="S18" s="103">
        <f t="shared" si="1"/>
        <v>0</v>
      </c>
      <c r="T18" s="195">
        <f aca="true" t="shared" si="15" ref="T18:T23">AB18-S18</f>
        <v>0</v>
      </c>
      <c r="U18" s="155">
        <f aca="true" t="shared" si="16" ref="U18:U23">_xlfn.IFERROR(VLOOKUP(D18,BenchmarksRd4,3,0)*86400,"")</f>
      </c>
      <c r="V18" s="209"/>
      <c r="W18" s="104"/>
      <c r="X18" s="196" t="str">
        <f t="shared" si="12"/>
        <v>n/a</v>
      </c>
      <c r="Y18" s="196" t="str">
        <f t="shared" si="13"/>
        <v>n/a</v>
      </c>
      <c r="Z18" s="196">
        <f>IF($Y18="n/a","",_xlfn.IFERROR(COUNTIF($Y$2:$Y18,"="&amp;Y18),""))</f>
      </c>
      <c r="AA18" s="196">
        <f>COUNTIF($X$2:X7,"&lt;"&amp;X18)</f>
        <v>0</v>
      </c>
      <c r="AB18" s="206">
        <f t="shared" si="14"/>
        <v>0</v>
      </c>
      <c r="AC18" s="345">
        <f aca="true" t="shared" si="17" ref="AC18:AC23">(S18+T18+W18)</f>
        <v>0</v>
      </c>
    </row>
    <row r="19" spans="1:29" ht="12">
      <c r="A19" s="347">
        <v>34</v>
      </c>
      <c r="B19" s="1" t="s">
        <v>410</v>
      </c>
      <c r="C19" s="1" t="str">
        <f t="shared" si="10"/>
        <v>tim van duyl</v>
      </c>
      <c r="D19" s="8" t="s">
        <v>26</v>
      </c>
      <c r="E19" s="17" t="s">
        <v>473</v>
      </c>
      <c r="F19" s="8"/>
      <c r="G19" s="8" t="s">
        <v>87</v>
      </c>
      <c r="H19" s="248">
        <f t="shared" si="11"/>
      </c>
      <c r="I19" s="248">
        <f t="shared" si="11"/>
      </c>
      <c r="J19" s="248">
        <f aca="true" t="shared" si="18" ref="J19:R19">IF($D19=J$1,$S19,"")</f>
      </c>
      <c r="K19" s="248">
        <f t="shared" si="18"/>
      </c>
      <c r="L19" s="248">
        <f t="shared" si="18"/>
      </c>
      <c r="M19" s="248">
        <f t="shared" si="18"/>
      </c>
      <c r="N19" s="248">
        <f t="shared" si="18"/>
      </c>
      <c r="O19" s="248">
        <f t="shared" si="18"/>
      </c>
      <c r="P19" s="248">
        <f t="shared" si="18"/>
      </c>
      <c r="Q19" s="248">
        <f t="shared" si="18"/>
      </c>
      <c r="R19" s="269">
        <f t="shared" si="18"/>
      </c>
      <c r="S19" s="103">
        <f t="shared" si="1"/>
        <v>0</v>
      </c>
      <c r="T19" s="195">
        <f t="shared" si="15"/>
        <v>0</v>
      </c>
      <c r="U19" s="155">
        <f t="shared" si="16"/>
      </c>
      <c r="V19" s="209"/>
      <c r="W19" s="104"/>
      <c r="X19" s="196" t="str">
        <f t="shared" si="12"/>
        <v>n/a</v>
      </c>
      <c r="Y19" s="196" t="str">
        <f t="shared" si="13"/>
        <v>n/a</v>
      </c>
      <c r="Z19" s="196">
        <f>IF($Y19="n/a","",_xlfn.IFERROR(COUNTIF($Y$2:$Y19,"="&amp;Y19),""))</f>
      </c>
      <c r="AA19" s="196">
        <f>COUNTIF($X$2:X18,"&lt;"&amp;X19)</f>
        <v>0</v>
      </c>
      <c r="AB19" s="206">
        <f t="shared" si="14"/>
        <v>0</v>
      </c>
      <c r="AC19" s="345">
        <f t="shared" si="17"/>
        <v>0</v>
      </c>
    </row>
    <row r="20" spans="1:29" ht="12">
      <c r="A20" s="347">
        <v>146</v>
      </c>
      <c r="B20" s="1" t="s">
        <v>474</v>
      </c>
      <c r="C20" s="1" t="str">
        <f t="shared" si="10"/>
        <v>brock watchorn</v>
      </c>
      <c r="D20" s="8" t="s">
        <v>26</v>
      </c>
      <c r="E20" s="17" t="s">
        <v>475</v>
      </c>
      <c r="F20" s="8"/>
      <c r="G20" s="8" t="s">
        <v>87</v>
      </c>
      <c r="H20" s="248">
        <f t="shared" si="11"/>
      </c>
      <c r="I20" s="248">
        <f t="shared" si="11"/>
      </c>
      <c r="J20" s="248">
        <f t="shared" si="11"/>
      </c>
      <c r="K20" s="248">
        <f t="shared" si="11"/>
      </c>
      <c r="L20" s="248">
        <f t="shared" si="11"/>
      </c>
      <c r="M20" s="248">
        <f t="shared" si="11"/>
      </c>
      <c r="N20" s="248">
        <f t="shared" si="11"/>
      </c>
      <c r="O20" s="248">
        <f t="shared" si="11"/>
      </c>
      <c r="P20" s="248">
        <f t="shared" si="11"/>
      </c>
      <c r="Q20" s="248">
        <f t="shared" si="11"/>
      </c>
      <c r="R20" s="269">
        <f t="shared" si="11"/>
      </c>
      <c r="S20" s="103">
        <f t="shared" si="1"/>
        <v>0</v>
      </c>
      <c r="T20" s="195">
        <f t="shared" si="15"/>
        <v>0</v>
      </c>
      <c r="U20" s="155">
        <f t="shared" si="16"/>
      </c>
      <c r="V20" s="209"/>
      <c r="W20" s="104"/>
      <c r="X20" s="196" t="str">
        <f t="shared" si="12"/>
        <v>n/a</v>
      </c>
      <c r="Y20" s="196" t="str">
        <f t="shared" si="13"/>
        <v>n/a</v>
      </c>
      <c r="Z20" s="196">
        <f>IF($Y20="n/a","",_xlfn.IFERROR(COUNTIF($Y$2:$Y20,"="&amp;Y20),""))</f>
      </c>
      <c r="AA20" s="196">
        <f>COUNTIF($X$2:X9,"&lt;"&amp;X20)</f>
        <v>0</v>
      </c>
      <c r="AB20" s="206">
        <f t="shared" si="14"/>
        <v>0</v>
      </c>
      <c r="AC20" s="345">
        <f t="shared" si="17"/>
        <v>0</v>
      </c>
    </row>
    <row r="21" spans="1:29" ht="12">
      <c r="A21" s="107">
        <v>241</v>
      </c>
      <c r="B21" s="47" t="s">
        <v>79</v>
      </c>
      <c r="C21" s="47" t="str">
        <f t="shared" si="10"/>
        <v>john downes</v>
      </c>
      <c r="D21" s="48" t="s">
        <v>5</v>
      </c>
      <c r="E21" s="546" t="s">
        <v>476</v>
      </c>
      <c r="F21" s="48"/>
      <c r="G21" s="48" t="s">
        <v>176</v>
      </c>
      <c r="H21" s="250">
        <f t="shared" si="11"/>
      </c>
      <c r="I21" s="250">
        <f t="shared" si="11"/>
      </c>
      <c r="J21" s="250">
        <f t="shared" si="11"/>
      </c>
      <c r="K21" s="250">
        <f t="shared" si="11"/>
      </c>
      <c r="L21" s="250">
        <f t="shared" si="11"/>
      </c>
      <c r="M21" s="250">
        <f t="shared" si="11"/>
      </c>
      <c r="N21" s="250">
        <f t="shared" si="11"/>
      </c>
      <c r="O21" s="250">
        <f t="shared" si="11"/>
      </c>
      <c r="P21" s="250">
        <f t="shared" si="11"/>
      </c>
      <c r="Q21" s="250">
        <f t="shared" si="11"/>
        <v>75</v>
      </c>
      <c r="R21" s="270">
        <f t="shared" si="11"/>
      </c>
      <c r="S21" s="103">
        <f t="shared" si="1"/>
        <v>75</v>
      </c>
      <c r="T21" s="107">
        <f t="shared" si="15"/>
        <v>0</v>
      </c>
      <c r="U21" s="215">
        <f t="shared" si="16"/>
        <v>122.89</v>
      </c>
      <c r="V21" s="210">
        <f t="shared" si="4"/>
        <v>5.7250000000000085</v>
      </c>
      <c r="W21" s="108">
        <f t="shared" si="5"/>
        <v>-10</v>
      </c>
      <c r="X21" s="196">
        <f t="shared" si="12"/>
        <v>1</v>
      </c>
      <c r="Y21" s="196">
        <f t="shared" si="13"/>
        <v>2</v>
      </c>
      <c r="Z21" s="196">
        <f>IF($Y21="n/a","",_xlfn.IFERROR(COUNTIF($Y$2:$Y21,"="&amp;Y21),""))</f>
        <v>2</v>
      </c>
      <c r="AA21" s="196">
        <f>COUNTIF($X$2:X20,"&lt;"&amp;X21)</f>
        <v>0</v>
      </c>
      <c r="AB21" s="206">
        <f t="shared" si="14"/>
        <v>75</v>
      </c>
      <c r="AC21" s="345">
        <f t="shared" si="17"/>
        <v>65</v>
      </c>
    </row>
    <row r="22" spans="1:29" ht="12">
      <c r="A22" s="107">
        <v>77</v>
      </c>
      <c r="B22" s="47" t="s">
        <v>78</v>
      </c>
      <c r="C22" s="47" t="str">
        <f t="shared" si="10"/>
        <v>simeon ouzas</v>
      </c>
      <c r="D22" s="48" t="s">
        <v>5</v>
      </c>
      <c r="E22" s="546" t="s">
        <v>477</v>
      </c>
      <c r="F22" s="48"/>
      <c r="G22" s="48" t="s">
        <v>56</v>
      </c>
      <c r="H22" s="250">
        <f t="shared" si="11"/>
      </c>
      <c r="I22" s="250">
        <f t="shared" si="11"/>
      </c>
      <c r="J22" s="250">
        <f t="shared" si="11"/>
      </c>
      <c r="K22" s="250">
        <f t="shared" si="11"/>
      </c>
      <c r="L22" s="250">
        <f t="shared" si="11"/>
      </c>
      <c r="M22" s="250">
        <f t="shared" si="11"/>
      </c>
      <c r="N22" s="250">
        <f t="shared" si="11"/>
      </c>
      <c r="O22" s="250">
        <f t="shared" si="11"/>
      </c>
      <c r="P22" s="250">
        <f t="shared" si="11"/>
      </c>
      <c r="Q22" s="250">
        <f t="shared" si="11"/>
        <v>60</v>
      </c>
      <c r="R22" s="270">
        <f t="shared" si="11"/>
      </c>
      <c r="S22" s="103">
        <f t="shared" si="1"/>
        <v>60</v>
      </c>
      <c r="T22" s="107">
        <f t="shared" si="15"/>
        <v>0</v>
      </c>
      <c r="U22" s="215">
        <f t="shared" si="16"/>
        <v>122.89</v>
      </c>
      <c r="V22" s="210">
        <f t="shared" si="4"/>
        <v>7.853999999999971</v>
      </c>
      <c r="W22" s="108">
        <f t="shared" si="5"/>
        <v>-10</v>
      </c>
      <c r="X22" s="196">
        <f t="shared" si="12"/>
        <v>1</v>
      </c>
      <c r="Y22" s="196">
        <f t="shared" si="13"/>
        <v>2</v>
      </c>
      <c r="Z22" s="196">
        <f>IF($Y22="n/a","",_xlfn.IFERROR(COUNTIF($Y$2:$Y22,"="&amp;Y22),""))</f>
        <v>3</v>
      </c>
      <c r="AA22" s="196">
        <f>COUNTIF($X$2:X11,"&lt;"&amp;X22)</f>
        <v>0</v>
      </c>
      <c r="AB22" s="206">
        <f t="shared" si="14"/>
        <v>60</v>
      </c>
      <c r="AC22" s="345">
        <f t="shared" si="17"/>
        <v>50</v>
      </c>
    </row>
    <row r="23" spans="1:29" ht="12">
      <c r="A23" s="281">
        <v>112</v>
      </c>
      <c r="B23" s="142" t="s">
        <v>174</v>
      </c>
      <c r="C23" s="142" t="str">
        <f t="shared" si="10"/>
        <v>ian vague</v>
      </c>
      <c r="D23" s="418" t="s">
        <v>4</v>
      </c>
      <c r="E23" s="540" t="s">
        <v>478</v>
      </c>
      <c r="F23" s="418"/>
      <c r="G23" s="418" t="s">
        <v>56</v>
      </c>
      <c r="H23" s="279">
        <f t="shared" si="11"/>
      </c>
      <c r="I23" s="279">
        <f t="shared" si="11"/>
      </c>
      <c r="J23" s="279">
        <f t="shared" si="11"/>
      </c>
      <c r="K23" s="279">
        <f t="shared" si="11"/>
      </c>
      <c r="L23" s="279">
        <f t="shared" si="11"/>
      </c>
      <c r="M23" s="279">
        <f t="shared" si="11"/>
      </c>
      <c r="N23" s="279">
        <f t="shared" si="11"/>
      </c>
      <c r="O23" s="279">
        <f t="shared" si="11"/>
      </c>
      <c r="P23" s="279">
        <f t="shared" si="11"/>
        <v>75</v>
      </c>
      <c r="Q23" s="279">
        <f t="shared" si="11"/>
      </c>
      <c r="R23" s="280">
        <f t="shared" si="11"/>
      </c>
      <c r="S23" s="103">
        <f t="shared" si="1"/>
        <v>75</v>
      </c>
      <c r="T23" s="281">
        <f t="shared" si="15"/>
        <v>-60</v>
      </c>
      <c r="U23" s="282">
        <f t="shared" si="16"/>
        <v>118.93500000000002</v>
      </c>
      <c r="V23" s="283">
        <f t="shared" si="4"/>
        <v>11.945000000000007</v>
      </c>
      <c r="W23" s="284">
        <f>IF(V23&lt;=0,10,IF(V23&lt;1,5,IF(V23&lt;2,0,IF(V23&lt;3,-5,-10))))</f>
        <v>-10</v>
      </c>
      <c r="X23" s="196">
        <f t="shared" si="12"/>
        <v>3</v>
      </c>
      <c r="Y23" s="196">
        <f t="shared" si="13"/>
        <v>5</v>
      </c>
      <c r="Z23" s="196">
        <f>IF($Y23="n/a","",_xlfn.IFERROR(COUNTIF($Y$2:$Y23,"="&amp;Y23),""))</f>
        <v>2</v>
      </c>
      <c r="AA23" s="196">
        <f>COUNTIF($X$2:X22,"&lt;"&amp;X23)</f>
        <v>6</v>
      </c>
      <c r="AB23" s="206">
        <f t="shared" si="14"/>
        <v>15</v>
      </c>
      <c r="AC23" s="345">
        <f t="shared" si="17"/>
        <v>5</v>
      </c>
    </row>
    <row r="24" spans="1:29" ht="12">
      <c r="A24" s="347">
        <v>20</v>
      </c>
      <c r="B24" s="1" t="s">
        <v>479</v>
      </c>
      <c r="C24" s="1" t="str">
        <f t="shared" si="10"/>
        <v>michael lyons</v>
      </c>
      <c r="D24" s="8" t="s">
        <v>26</v>
      </c>
      <c r="E24" s="17" t="s">
        <v>480</v>
      </c>
      <c r="F24" s="8"/>
      <c r="G24" s="8" t="s">
        <v>87</v>
      </c>
      <c r="H24" s="248">
        <f t="shared" si="11"/>
      </c>
      <c r="I24" s="248">
        <f t="shared" si="11"/>
      </c>
      <c r="J24" s="248">
        <f t="shared" si="11"/>
      </c>
      <c r="K24" s="248">
        <f t="shared" si="11"/>
      </c>
      <c r="L24" s="248">
        <f t="shared" si="11"/>
      </c>
      <c r="M24" s="248">
        <f t="shared" si="11"/>
      </c>
      <c r="N24" s="248">
        <f t="shared" si="11"/>
      </c>
      <c r="O24" s="248">
        <f t="shared" si="11"/>
      </c>
      <c r="P24" s="248">
        <f t="shared" si="11"/>
      </c>
      <c r="Q24" s="248">
        <f t="shared" si="11"/>
      </c>
      <c r="R24" s="269">
        <f t="shared" si="11"/>
      </c>
      <c r="S24" s="103">
        <f t="shared" si="1"/>
        <v>0</v>
      </c>
      <c r="T24" s="195">
        <f t="shared" si="2"/>
        <v>0</v>
      </c>
      <c r="U24" s="155">
        <f t="shared" si="3"/>
      </c>
      <c r="V24" s="209"/>
      <c r="W24" s="104"/>
      <c r="X24" s="196" t="str">
        <f t="shared" si="6"/>
        <v>n/a</v>
      </c>
      <c r="Y24" s="196" t="str">
        <f t="shared" si="7"/>
        <v>n/a</v>
      </c>
      <c r="Z24" s="196">
        <f>IF($Y24="n/a","",_xlfn.IFERROR(COUNTIF($Y$2:$Y24,"="&amp;Y24),""))</f>
      </c>
      <c r="AA24" s="196">
        <f>COUNTIF($X$2:X13,"&lt;"&amp;X24)</f>
        <v>0</v>
      </c>
      <c r="AB24" s="206">
        <f t="shared" si="8"/>
        <v>0</v>
      </c>
      <c r="AC24" s="345">
        <f t="shared" si="9"/>
        <v>0</v>
      </c>
    </row>
    <row r="25" spans="1:29" ht="12">
      <c r="A25" s="347">
        <v>68</v>
      </c>
      <c r="B25" s="1" t="s">
        <v>417</v>
      </c>
      <c r="C25" s="1" t="str">
        <f t="shared" si="10"/>
        <v>simon acfield</v>
      </c>
      <c r="D25" s="8" t="s">
        <v>26</v>
      </c>
      <c r="E25" s="17" t="s">
        <v>481</v>
      </c>
      <c r="F25" s="8"/>
      <c r="G25" s="8" t="s">
        <v>176</v>
      </c>
      <c r="H25" s="248">
        <f t="shared" si="11"/>
      </c>
      <c r="I25" s="248">
        <f t="shared" si="11"/>
      </c>
      <c r="J25" s="248">
        <f t="shared" si="11"/>
      </c>
      <c r="K25" s="248">
        <f t="shared" si="11"/>
      </c>
      <c r="L25" s="248">
        <f t="shared" si="11"/>
      </c>
      <c r="M25" s="248">
        <f t="shared" si="11"/>
      </c>
      <c r="N25" s="248">
        <f t="shared" si="11"/>
      </c>
      <c r="O25" s="248">
        <f t="shared" si="11"/>
      </c>
      <c r="P25" s="248">
        <f t="shared" si="11"/>
      </c>
      <c r="Q25" s="248">
        <f t="shared" si="11"/>
      </c>
      <c r="R25" s="269">
        <f t="shared" si="11"/>
      </c>
      <c r="S25" s="103">
        <f t="shared" si="1"/>
        <v>0</v>
      </c>
      <c r="T25" s="195">
        <f t="shared" si="2"/>
        <v>0</v>
      </c>
      <c r="U25" s="155">
        <f t="shared" si="3"/>
      </c>
      <c r="V25" s="209"/>
      <c r="W25" s="104"/>
      <c r="X25" s="196" t="str">
        <f>_xlfn.IFERROR(VLOOKUP(D25,Class2018,4,0),"n/a")</f>
        <v>n/a</v>
      </c>
      <c r="Y25" s="196" t="str">
        <f>_xlfn.IFERROR(VLOOKUP(D25,Class2018,3,0),"n/a")</f>
        <v>n/a</v>
      </c>
      <c r="Z25" s="196">
        <f>IF($Y25="n/a","",_xlfn.IFERROR(COUNTIF($Y$2:$Y25,"="&amp;Y25),""))</f>
      </c>
      <c r="AA25" s="196">
        <f>COUNTIF($X$2:X24,"&lt;"&amp;X25)</f>
        <v>0</v>
      </c>
      <c r="AB25" s="206">
        <f>IF($Y25="n/a",0,_xlfn.IFERROR(VLOOKUP(Z25+AA25,Points2018,2,0),15))</f>
        <v>0</v>
      </c>
      <c r="AC25" s="345">
        <f t="shared" si="9"/>
        <v>0</v>
      </c>
    </row>
    <row r="26" spans="1:29" ht="12.75" thickBot="1">
      <c r="A26" s="361">
        <v>122</v>
      </c>
      <c r="B26" s="272" t="s">
        <v>109</v>
      </c>
      <c r="C26" s="272" t="str">
        <f t="shared" si="10"/>
        <v>peter whitaker</v>
      </c>
      <c r="D26" s="360" t="s">
        <v>26</v>
      </c>
      <c r="E26" s="493" t="s">
        <v>482</v>
      </c>
      <c r="F26" s="360"/>
      <c r="G26" s="360" t="s">
        <v>409</v>
      </c>
      <c r="H26" s="285">
        <f t="shared" si="11"/>
      </c>
      <c r="I26" s="285">
        <f t="shared" si="11"/>
      </c>
      <c r="J26" s="285">
        <f t="shared" si="11"/>
      </c>
      <c r="K26" s="285">
        <f t="shared" si="11"/>
      </c>
      <c r="L26" s="285">
        <f t="shared" si="11"/>
      </c>
      <c r="M26" s="285">
        <f t="shared" si="11"/>
      </c>
      <c r="N26" s="285">
        <f t="shared" si="11"/>
      </c>
      <c r="O26" s="285">
        <f t="shared" si="11"/>
      </c>
      <c r="P26" s="285">
        <f t="shared" si="11"/>
      </c>
      <c r="Q26" s="285">
        <f t="shared" si="11"/>
      </c>
      <c r="R26" s="286">
        <f t="shared" si="11"/>
      </c>
      <c r="S26" s="580">
        <f t="shared" si="1"/>
        <v>0</v>
      </c>
      <c r="T26" s="201">
        <f t="shared" si="2"/>
        <v>0</v>
      </c>
      <c r="U26" s="162">
        <f t="shared" si="3"/>
      </c>
      <c r="V26" s="271"/>
      <c r="W26" s="176"/>
      <c r="X26" s="435" t="str">
        <f t="shared" si="6"/>
        <v>n/a</v>
      </c>
      <c r="Y26" s="435" t="str">
        <f t="shared" si="7"/>
        <v>n/a</v>
      </c>
      <c r="Z26" s="435">
        <f>IF($Y26="n/a","",_xlfn.IFERROR(COUNTIF($Y$2:$Y26,"="&amp;Y26),""))</f>
      </c>
      <c r="AA26" s="435">
        <f>COUNTIF($X$2:X25,"&lt;"&amp;X26)</f>
        <v>0</v>
      </c>
      <c r="AB26" s="436">
        <f t="shared" si="8"/>
        <v>0</v>
      </c>
      <c r="AC26" s="475">
        <f t="shared" si="9"/>
        <v>0</v>
      </c>
    </row>
    <row r="27" spans="6:29" ht="12.75" thickBot="1">
      <c r="F27" s="175"/>
      <c r="G27" s="177" t="s">
        <v>27</v>
      </c>
      <c r="H27" s="178">
        <f aca="true" t="shared" si="19" ref="H27:S27">COUNT(H2:H26)</f>
        <v>0</v>
      </c>
      <c r="I27" s="178">
        <f t="shared" si="19"/>
        <v>1</v>
      </c>
      <c r="J27" s="178">
        <f t="shared" si="19"/>
        <v>2</v>
      </c>
      <c r="K27" s="178">
        <f t="shared" si="19"/>
        <v>1</v>
      </c>
      <c r="L27" s="178">
        <f t="shared" si="19"/>
        <v>0</v>
      </c>
      <c r="M27" s="178">
        <f t="shared" si="19"/>
        <v>2</v>
      </c>
      <c r="N27" s="178">
        <f t="shared" si="19"/>
        <v>0</v>
      </c>
      <c r="O27" s="178">
        <f t="shared" si="19"/>
        <v>1</v>
      </c>
      <c r="P27" s="178">
        <f t="shared" si="19"/>
        <v>2</v>
      </c>
      <c r="Q27" s="178">
        <f t="shared" si="19"/>
        <v>3</v>
      </c>
      <c r="R27" s="178">
        <f t="shared" si="19"/>
        <v>1</v>
      </c>
      <c r="S27" s="316">
        <f t="shared" si="19"/>
        <v>25</v>
      </c>
      <c r="T27" s="216"/>
      <c r="U27" s="216"/>
      <c r="V27" s="204"/>
      <c r="W27" s="216"/>
      <c r="X27" s="216"/>
      <c r="Y27" s="216"/>
      <c r="Z27" s="216"/>
      <c r="AA27" s="216"/>
      <c r="AB27" s="216"/>
      <c r="AC27" s="216"/>
    </row>
    <row r="28" spans="20:29" ht="12">
      <c r="T28" s="8"/>
      <c r="U28" s="1"/>
      <c r="V28" s="204"/>
      <c r="W28" s="1"/>
      <c r="X28" s="8"/>
      <c r="Y28" s="8"/>
      <c r="Z28" s="8"/>
      <c r="AA28" s="8"/>
      <c r="AB28" s="8"/>
      <c r="AC28" s="1"/>
    </row>
    <row r="29" spans="2:28" ht="12">
      <c r="B29" s="2"/>
      <c r="C29" s="2"/>
      <c r="D29" s="111"/>
      <c r="T29" s="111"/>
      <c r="X29" s="111"/>
      <c r="Y29" s="111"/>
      <c r="Z29" s="111"/>
      <c r="AA29" s="111"/>
      <c r="AB29" s="111"/>
    </row>
    <row r="30" ht="12">
      <c r="V30" s="154"/>
    </row>
  </sheetData>
  <sheetProtection/>
  <mergeCells count="1">
    <mergeCell ref="AE1:AG1"/>
  </mergeCells>
  <printOptions/>
  <pageMargins left="0.7" right="0.7" top="0.75" bottom="0.75" header="0.3" footer="0.3"/>
  <pageSetup horizontalDpi="300" verticalDpi="3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AG23"/>
  <sheetViews>
    <sheetView zoomScale="90" zoomScaleNormal="90" zoomScalePageLayoutView="0" workbookViewId="0" topLeftCell="A1">
      <selection activeCell="X1" sqref="X1:AB16384"/>
    </sheetView>
  </sheetViews>
  <sheetFormatPr defaultColWidth="8.8515625" defaultRowHeight="12.75"/>
  <cols>
    <col min="1" max="1" width="7.8515625" style="109" customWidth="1"/>
    <col min="2" max="2" width="22.00390625" style="110" customWidth="1"/>
    <col min="3" max="3" width="20.8515625" style="110" hidden="1" customWidth="1"/>
    <col min="4" max="4" width="9.28125" style="110" customWidth="1"/>
    <col min="5" max="5" width="10.421875" style="110" customWidth="1"/>
    <col min="6" max="6" width="15.00390625" style="110" bestFit="1" customWidth="1"/>
    <col min="7" max="7" width="9.57421875" style="110" customWidth="1"/>
    <col min="8" max="18" width="7.7109375" style="110" customWidth="1"/>
    <col min="19" max="19" width="6.7109375" style="110" customWidth="1"/>
    <col min="20" max="20" width="7.8515625" style="110" customWidth="1"/>
    <col min="21" max="21" width="8.28125" style="0" customWidth="1"/>
    <col min="22" max="22" width="8.8515625" style="154" customWidth="1"/>
    <col min="23" max="23" width="8.8515625" style="0" customWidth="1"/>
    <col min="24" max="24" width="14.28125" style="110" hidden="1" customWidth="1"/>
    <col min="25" max="27" width="8.8515625" style="110" hidden="1" customWidth="1"/>
    <col min="28" max="28" width="11.421875" style="110" hidden="1" customWidth="1"/>
    <col min="29" max="29" width="8.8515625" style="0" customWidth="1"/>
    <col min="30" max="30" width="7.00390625" style="110" customWidth="1"/>
    <col min="31" max="31" width="8.8515625" style="110" customWidth="1"/>
    <col min="32" max="32" width="21.28125" style="110" customWidth="1"/>
    <col min="33" max="33" width="9.57421875" style="110" customWidth="1"/>
    <col min="34" max="16384" width="8.8515625" style="110" customWidth="1"/>
  </cols>
  <sheetData>
    <row r="1" spans="1:33" s="109" customFormat="1" ht="42.75" customHeight="1" thickBot="1">
      <c r="A1" s="179" t="s">
        <v>23</v>
      </c>
      <c r="B1" s="180" t="s">
        <v>1</v>
      </c>
      <c r="C1" s="181" t="s">
        <v>1</v>
      </c>
      <c r="D1" s="181" t="s">
        <v>2</v>
      </c>
      <c r="E1" s="182" t="s">
        <v>24</v>
      </c>
      <c r="F1" s="183"/>
      <c r="G1" s="183" t="s">
        <v>25</v>
      </c>
      <c r="H1" s="184" t="s">
        <v>14</v>
      </c>
      <c r="I1" s="185" t="s">
        <v>13</v>
      </c>
      <c r="J1" s="186" t="s">
        <v>16</v>
      </c>
      <c r="K1" s="187" t="s">
        <v>52</v>
      </c>
      <c r="L1" s="188" t="s">
        <v>51</v>
      </c>
      <c r="M1" s="189" t="s">
        <v>21</v>
      </c>
      <c r="N1" s="190" t="s">
        <v>22</v>
      </c>
      <c r="O1" s="191" t="s">
        <v>50</v>
      </c>
      <c r="P1" s="192" t="s">
        <v>4</v>
      </c>
      <c r="Q1" s="193" t="s">
        <v>5</v>
      </c>
      <c r="R1" s="194" t="s">
        <v>3</v>
      </c>
      <c r="S1" s="323" t="s">
        <v>64</v>
      </c>
      <c r="T1" s="202" t="s">
        <v>95</v>
      </c>
      <c r="U1" s="202" t="s">
        <v>60</v>
      </c>
      <c r="V1" s="205" t="s">
        <v>61</v>
      </c>
      <c r="W1" s="203" t="s">
        <v>63</v>
      </c>
      <c r="X1" s="324" t="s">
        <v>93</v>
      </c>
      <c r="Y1" s="324" t="s">
        <v>2</v>
      </c>
      <c r="Z1" s="324" t="s">
        <v>97</v>
      </c>
      <c r="AA1" s="324" t="s">
        <v>89</v>
      </c>
      <c r="AB1" s="324" t="s">
        <v>94</v>
      </c>
      <c r="AC1" s="323" t="s">
        <v>98</v>
      </c>
      <c r="AE1" s="661" t="s">
        <v>108</v>
      </c>
      <c r="AF1" s="662"/>
      <c r="AG1" s="663"/>
    </row>
    <row r="2" spans="1:33" ht="12.75">
      <c r="A2" s="614">
        <v>39</v>
      </c>
      <c r="B2" s="615" t="s">
        <v>82</v>
      </c>
      <c r="C2" s="615" t="str">
        <f>LOWER(B2)</f>
        <v>paul ledwith</v>
      </c>
      <c r="D2" s="616" t="s">
        <v>13</v>
      </c>
      <c r="E2" s="650" t="s">
        <v>483</v>
      </c>
      <c r="F2" s="651" t="s">
        <v>511</v>
      </c>
      <c r="G2" s="616" t="s">
        <v>484</v>
      </c>
      <c r="H2" s="618">
        <f>IF($D2=H$1,$S2,"")</f>
      </c>
      <c r="I2" s="618">
        <f aca="true" t="shared" si="0" ref="I2:R2">IF($D2=I$1,$S2,"")</f>
        <v>100</v>
      </c>
      <c r="J2" s="618">
        <f t="shared" si="0"/>
      </c>
      <c r="K2" s="618">
        <f t="shared" si="0"/>
      </c>
      <c r="L2" s="618">
        <f t="shared" si="0"/>
      </c>
      <c r="M2" s="618">
        <f t="shared" si="0"/>
      </c>
      <c r="N2" s="618">
        <f t="shared" si="0"/>
      </c>
      <c r="O2" s="618">
        <f t="shared" si="0"/>
      </c>
      <c r="P2" s="618">
        <f t="shared" si="0"/>
      </c>
      <c r="Q2" s="618">
        <f t="shared" si="0"/>
      </c>
      <c r="R2" s="618">
        <f t="shared" si="0"/>
      </c>
      <c r="S2" s="168">
        <f aca="true" t="shared" si="1" ref="S2:S20">_xlfn.IFERROR(VLOOKUP($Z2,Points2018,2,0),0)</f>
        <v>100</v>
      </c>
      <c r="T2" s="614">
        <f aca="true" t="shared" si="2" ref="T2:T20">AB2-S2</f>
        <v>0</v>
      </c>
      <c r="U2" s="620">
        <f aca="true" t="shared" si="3" ref="U2:U20">_xlfn.IFERROR(VLOOKUP(D2,BenchmarksRd4,3,0)*86400,"")</f>
        <v>95.917</v>
      </c>
      <c r="V2" s="621">
        <f aca="true" t="shared" si="4" ref="V2:V9">(($E2*86400)-U2)</f>
        <v>-0.32699999999998397</v>
      </c>
      <c r="W2" s="622">
        <f aca="true" t="shared" si="5" ref="W2:W9">IF(V2&lt;=0,10,IF(V2&lt;1,5,IF(V2&lt;2,0,IF(V2&lt;3,-5,-10))))</f>
        <v>10</v>
      </c>
      <c r="X2" s="217">
        <f aca="true" t="shared" si="6" ref="X2:X19">_xlfn.IFERROR(VLOOKUP(D2,Class2018,4,0),"n/a")</f>
        <v>6</v>
      </c>
      <c r="Y2" s="217">
        <f aca="true" t="shared" si="7" ref="Y2:Y19">_xlfn.IFERROR(VLOOKUP(D2,Class2018,3,0),"n/a")</f>
        <v>10</v>
      </c>
      <c r="Z2" s="217">
        <f>IF($Y2="n/a","",_xlfn.IFERROR(COUNTIF($Y$2:$Y2,"="&amp;Y2),""))</f>
        <v>1</v>
      </c>
      <c r="AA2" s="217">
        <f>COUNTIF($X1:X$2,"&lt;"&amp;X2)</f>
        <v>0</v>
      </c>
      <c r="AB2" s="247">
        <f aca="true" t="shared" si="8" ref="AB2:AB19">IF($Y2="n/a",0,_xlfn.IFERROR(VLOOKUP(Z2+AA2,Points2018,2,0),15))</f>
        <v>100</v>
      </c>
      <c r="AC2" s="474">
        <f aca="true" t="shared" si="9" ref="AC2:AC20">(S2+T2+W2)</f>
        <v>110</v>
      </c>
      <c r="AE2" s="251" t="s">
        <v>3</v>
      </c>
      <c r="AF2" s="420" t="s">
        <v>76</v>
      </c>
      <c r="AG2" s="421">
        <v>0.0012429050925925925</v>
      </c>
    </row>
    <row r="3" spans="1:33" ht="12.75">
      <c r="A3" s="382">
        <v>6</v>
      </c>
      <c r="B3" s="173" t="s">
        <v>106</v>
      </c>
      <c r="C3" s="383" t="str">
        <f>LOWER(B3)</f>
        <v>russell garner</v>
      </c>
      <c r="D3" s="384" t="s">
        <v>16</v>
      </c>
      <c r="E3" s="652" t="s">
        <v>485</v>
      </c>
      <c r="F3" s="383"/>
      <c r="G3" s="384" t="s">
        <v>484</v>
      </c>
      <c r="H3" s="386">
        <f aca="true" t="shared" si="10" ref="H3:R20">IF($D3=H$1,$S3,"")</f>
      </c>
      <c r="I3" s="386">
        <f t="shared" si="10"/>
      </c>
      <c r="J3" s="386">
        <f t="shared" si="10"/>
        <v>100</v>
      </c>
      <c r="K3" s="386">
        <f t="shared" si="10"/>
      </c>
      <c r="L3" s="386">
        <f t="shared" si="10"/>
      </c>
      <c r="M3" s="386">
        <f t="shared" si="10"/>
      </c>
      <c r="N3" s="386">
        <f t="shared" si="10"/>
      </c>
      <c r="O3" s="386">
        <f t="shared" si="10"/>
      </c>
      <c r="P3" s="386">
        <f t="shared" si="10"/>
      </c>
      <c r="Q3" s="386">
        <f t="shared" si="10"/>
      </c>
      <c r="R3" s="386">
        <f t="shared" si="10"/>
      </c>
      <c r="S3" s="103">
        <f t="shared" si="1"/>
        <v>100</v>
      </c>
      <c r="T3" s="382">
        <f t="shared" si="2"/>
        <v>0</v>
      </c>
      <c r="U3" s="387">
        <f t="shared" si="3"/>
        <v>96.293</v>
      </c>
      <c r="V3" s="388">
        <f t="shared" si="4"/>
        <v>1.0259999999999962</v>
      </c>
      <c r="W3" s="526">
        <f t="shared" si="5"/>
        <v>0</v>
      </c>
      <c r="X3" s="196">
        <f t="shared" si="6"/>
        <v>5</v>
      </c>
      <c r="Y3" s="196">
        <f t="shared" si="7"/>
        <v>9</v>
      </c>
      <c r="Z3" s="196">
        <f>IF($Y3="n/a","",_xlfn.IFERROR(COUNTIF($Y$2:$Y3,"="&amp;Y3),""))</f>
        <v>1</v>
      </c>
      <c r="AA3" s="196">
        <f>COUNTIF($X2:X$2,"&lt;"&amp;X3)</f>
        <v>0</v>
      </c>
      <c r="AB3" s="206">
        <f t="shared" si="8"/>
        <v>100</v>
      </c>
      <c r="AC3" s="345">
        <f t="shared" si="9"/>
        <v>100</v>
      </c>
      <c r="AE3" s="252" t="s">
        <v>5</v>
      </c>
      <c r="AF3" s="346" t="s">
        <v>77</v>
      </c>
      <c r="AG3" s="422" t="s">
        <v>172</v>
      </c>
    </row>
    <row r="4" spans="1:33" ht="12.75">
      <c r="A4" s="103">
        <v>88</v>
      </c>
      <c r="B4" s="394" t="s">
        <v>74</v>
      </c>
      <c r="C4" s="383" t="str">
        <f aca="true" t="shared" si="11" ref="C4:C20">LOWER(B4)</f>
        <v>randy stagno navarra</v>
      </c>
      <c r="D4" s="344" t="s">
        <v>52</v>
      </c>
      <c r="E4" s="572" t="s">
        <v>486</v>
      </c>
      <c r="F4" s="394"/>
      <c r="G4" s="344" t="s">
        <v>487</v>
      </c>
      <c r="H4" s="396">
        <f t="shared" si="10"/>
      </c>
      <c r="I4" s="396">
        <f t="shared" si="10"/>
      </c>
      <c r="J4" s="396">
        <f t="shared" si="10"/>
      </c>
      <c r="K4" s="396">
        <f t="shared" si="10"/>
        <v>100</v>
      </c>
      <c r="L4" s="396">
        <f t="shared" si="10"/>
      </c>
      <c r="M4" s="396">
        <f t="shared" si="10"/>
      </c>
      <c r="N4" s="396">
        <f t="shared" si="10"/>
      </c>
      <c r="O4" s="396">
        <f t="shared" si="10"/>
      </c>
      <c r="P4" s="396">
        <f t="shared" si="10"/>
      </c>
      <c r="Q4" s="396">
        <f t="shared" si="10"/>
      </c>
      <c r="R4" s="396">
        <f t="shared" si="10"/>
      </c>
      <c r="S4" s="103">
        <f t="shared" si="1"/>
        <v>100</v>
      </c>
      <c r="T4" s="103">
        <f aca="true" t="shared" si="12" ref="T4:T10">AB4-S4</f>
        <v>0</v>
      </c>
      <c r="U4" s="397">
        <f t="shared" si="3"/>
        <v>99.39899999999999</v>
      </c>
      <c r="V4" s="398">
        <f t="shared" si="4"/>
        <v>0.9020000000000152</v>
      </c>
      <c r="W4" s="345">
        <f t="shared" si="5"/>
        <v>5</v>
      </c>
      <c r="X4" s="196">
        <f t="shared" si="6"/>
        <v>4</v>
      </c>
      <c r="Y4" s="196">
        <f t="shared" si="7"/>
        <v>8</v>
      </c>
      <c r="Z4" s="196">
        <f>IF($Y4="n/a","",_xlfn.IFERROR(COUNTIF($Y$2:$Y4,"="&amp;Y4),""))</f>
        <v>1</v>
      </c>
      <c r="AA4" s="196">
        <f>COUNTIF($X$2:X3,"&lt;"&amp;X4)</f>
        <v>0</v>
      </c>
      <c r="AB4" s="206">
        <f t="shared" si="8"/>
        <v>100</v>
      </c>
      <c r="AC4" s="345">
        <f t="shared" si="9"/>
        <v>105</v>
      </c>
      <c r="AE4" s="253" t="s">
        <v>4</v>
      </c>
      <c r="AF4" s="141" t="s">
        <v>74</v>
      </c>
      <c r="AG4" s="348">
        <v>0.0011998611111111112</v>
      </c>
    </row>
    <row r="5" spans="1:33" ht="12.75">
      <c r="A5" s="389">
        <v>21</v>
      </c>
      <c r="B5" s="390" t="s">
        <v>88</v>
      </c>
      <c r="C5" s="383" t="str">
        <f t="shared" si="11"/>
        <v>gavin newman</v>
      </c>
      <c r="D5" s="391" t="s">
        <v>51</v>
      </c>
      <c r="E5" s="563" t="s">
        <v>488</v>
      </c>
      <c r="F5" s="390"/>
      <c r="G5" s="391" t="s">
        <v>487</v>
      </c>
      <c r="H5" s="392">
        <f t="shared" si="10"/>
      </c>
      <c r="I5" s="392">
        <f t="shared" si="10"/>
      </c>
      <c r="J5" s="392">
        <f t="shared" si="10"/>
      </c>
      <c r="K5" s="392">
        <f t="shared" si="10"/>
      </c>
      <c r="L5" s="392">
        <f t="shared" si="10"/>
        <v>100</v>
      </c>
      <c r="M5" s="392">
        <f t="shared" si="10"/>
      </c>
      <c r="N5" s="392">
        <f t="shared" si="10"/>
      </c>
      <c r="O5" s="392">
        <f t="shared" si="10"/>
      </c>
      <c r="P5" s="392">
        <f t="shared" si="10"/>
      </c>
      <c r="Q5" s="392">
        <f t="shared" si="10"/>
      </c>
      <c r="R5" s="392">
        <f t="shared" si="10"/>
      </c>
      <c r="S5" s="103">
        <f t="shared" si="1"/>
        <v>100</v>
      </c>
      <c r="T5" s="389">
        <f t="shared" si="12"/>
        <v>0</v>
      </c>
      <c r="U5" s="400">
        <f t="shared" si="3"/>
        <v>102.854</v>
      </c>
      <c r="V5" s="401">
        <f t="shared" si="4"/>
        <v>0.32699999999998397</v>
      </c>
      <c r="W5" s="584">
        <f t="shared" si="5"/>
        <v>5</v>
      </c>
      <c r="X5" s="196">
        <f t="shared" si="6"/>
        <v>4</v>
      </c>
      <c r="Y5" s="196">
        <f t="shared" si="7"/>
        <v>7</v>
      </c>
      <c r="Z5" s="196">
        <f>IF($Y5="n/a","",_xlfn.IFERROR(COUNTIF($Y$2:$Y5,"="&amp;Y5),""))</f>
        <v>1</v>
      </c>
      <c r="AA5" s="196">
        <f>COUNTIF($X$2:X4,"&lt;"&amp;X5)</f>
        <v>0</v>
      </c>
      <c r="AB5" s="206">
        <f t="shared" si="8"/>
        <v>100</v>
      </c>
      <c r="AC5" s="345">
        <f t="shared" si="9"/>
        <v>105</v>
      </c>
      <c r="AE5" s="254" t="s">
        <v>50</v>
      </c>
      <c r="AF5" s="134" t="s">
        <v>74</v>
      </c>
      <c r="AG5" s="349">
        <v>0.001192476851851852</v>
      </c>
    </row>
    <row r="6" spans="1:33" ht="12.75">
      <c r="A6" s="409">
        <v>73</v>
      </c>
      <c r="B6" s="135" t="s">
        <v>133</v>
      </c>
      <c r="C6" s="383" t="str">
        <f t="shared" si="11"/>
        <v>david adam</v>
      </c>
      <c r="D6" s="410" t="s">
        <v>50</v>
      </c>
      <c r="E6" s="573" t="s">
        <v>489</v>
      </c>
      <c r="F6" s="135"/>
      <c r="G6" s="410" t="s">
        <v>487</v>
      </c>
      <c r="H6" s="412">
        <f t="shared" si="10"/>
      </c>
      <c r="I6" s="412">
        <f t="shared" si="10"/>
      </c>
      <c r="J6" s="412">
        <f t="shared" si="10"/>
      </c>
      <c r="K6" s="412">
        <f t="shared" si="10"/>
      </c>
      <c r="L6" s="412">
        <f t="shared" si="10"/>
      </c>
      <c r="M6" s="412">
        <f t="shared" si="10"/>
      </c>
      <c r="N6" s="412">
        <f t="shared" si="10"/>
      </c>
      <c r="O6" s="412">
        <f t="shared" si="10"/>
        <v>100</v>
      </c>
      <c r="P6" s="412">
        <f t="shared" si="10"/>
      </c>
      <c r="Q6" s="412">
        <f t="shared" si="10"/>
      </c>
      <c r="R6" s="412">
        <f t="shared" si="10"/>
      </c>
      <c r="S6" s="103">
        <f t="shared" si="1"/>
        <v>100</v>
      </c>
      <c r="T6" s="409">
        <f t="shared" si="12"/>
        <v>0</v>
      </c>
      <c r="U6" s="413">
        <f>_xlfn.IFERROR(VLOOKUP(D6,BenchmarksRd4,3,0)*86400,"")</f>
        <v>103.03</v>
      </c>
      <c r="V6" s="414">
        <f t="shared" si="4"/>
        <v>0.9189999999999969</v>
      </c>
      <c r="W6" s="585">
        <f t="shared" si="5"/>
        <v>5</v>
      </c>
      <c r="X6" s="196">
        <f>_xlfn.IFERROR(VLOOKUP(D6,Class2018,4,0),"n/a")</f>
        <v>3</v>
      </c>
      <c r="Y6" s="196">
        <f>_xlfn.IFERROR(VLOOKUP(D6,Class2018,3,0),"n/a")</f>
        <v>6</v>
      </c>
      <c r="Z6" s="196">
        <f>IF($Y6="n/a","",_xlfn.IFERROR(COUNTIF($Y$2:$Y6,"="&amp;Y6),""))</f>
        <v>1</v>
      </c>
      <c r="AA6" s="196">
        <f>COUNTIF($X$2:X5,"&lt;"&amp;X6)</f>
        <v>0</v>
      </c>
      <c r="AB6" s="206">
        <f>IF($Y6="n/a",0,_xlfn.IFERROR(VLOOKUP(Z6+AA6,Points2018,2,0),15))</f>
        <v>100</v>
      </c>
      <c r="AC6" s="345">
        <f>(S6+T6+W6)</f>
        <v>105</v>
      </c>
      <c r="AE6" s="255" t="s">
        <v>22</v>
      </c>
      <c r="AF6" s="160" t="s">
        <v>169</v>
      </c>
      <c r="AG6" s="350">
        <v>0.0012158101851851852</v>
      </c>
    </row>
    <row r="7" spans="1:33" ht="12.75">
      <c r="A7" s="105">
        <v>62</v>
      </c>
      <c r="B7" s="35" t="s">
        <v>75</v>
      </c>
      <c r="C7" s="383" t="str">
        <f t="shared" si="11"/>
        <v>noel heritage</v>
      </c>
      <c r="D7" s="36" t="s">
        <v>21</v>
      </c>
      <c r="E7" s="321" t="s">
        <v>490</v>
      </c>
      <c r="F7" s="35"/>
      <c r="G7" s="36" t="s">
        <v>487</v>
      </c>
      <c r="H7" s="249">
        <f t="shared" si="10"/>
      </c>
      <c r="I7" s="249">
        <f t="shared" si="10"/>
      </c>
      <c r="J7" s="249">
        <f t="shared" si="10"/>
      </c>
      <c r="K7" s="249">
        <f t="shared" si="10"/>
      </c>
      <c r="L7" s="249">
        <f t="shared" si="10"/>
      </c>
      <c r="M7" s="249">
        <f t="shared" si="10"/>
        <v>100</v>
      </c>
      <c r="N7" s="249">
        <f t="shared" si="10"/>
      </c>
      <c r="O7" s="249">
        <f t="shared" si="10"/>
      </c>
      <c r="P7" s="249">
        <f t="shared" si="10"/>
      </c>
      <c r="Q7" s="249">
        <f t="shared" si="10"/>
      </c>
      <c r="R7" s="249">
        <f t="shared" si="10"/>
      </c>
      <c r="S7" s="103">
        <f t="shared" si="1"/>
        <v>100</v>
      </c>
      <c r="T7" s="105">
        <f t="shared" si="12"/>
        <v>0</v>
      </c>
      <c r="U7" s="214">
        <f>_xlfn.IFERROR(VLOOKUP(D7,BenchmarksRd4,3,0)*86400,"")</f>
        <v>104.61699999999999</v>
      </c>
      <c r="V7" s="208">
        <f t="shared" si="4"/>
        <v>0.5290000000000106</v>
      </c>
      <c r="W7" s="106">
        <f t="shared" si="5"/>
        <v>5</v>
      </c>
      <c r="X7" s="196">
        <f>_xlfn.IFERROR(VLOOKUP(D7,Class2018,4,0),"n/a")</f>
        <v>2</v>
      </c>
      <c r="Y7" s="196">
        <f>_xlfn.IFERROR(VLOOKUP(D7,Class2018,3,0),"n/a")</f>
        <v>4</v>
      </c>
      <c r="Z7" s="196">
        <f>IF($Y7="n/a","",_xlfn.IFERROR(COUNTIF($Y$2:$Y7,"="&amp;Y7),""))</f>
        <v>1</v>
      </c>
      <c r="AA7" s="196">
        <f>COUNTIF($X$2:X6,"&lt;"&amp;X7)</f>
        <v>0</v>
      </c>
      <c r="AB7" s="206">
        <f>IF($Y7="n/a",0,_xlfn.IFERROR(VLOOKUP(Z7+AA7,Points2018,2,0),15))</f>
        <v>100</v>
      </c>
      <c r="AC7" s="345">
        <f>(S7+T7+W7)</f>
        <v>105</v>
      </c>
      <c r="AE7" s="256" t="s">
        <v>21</v>
      </c>
      <c r="AF7" s="44" t="s">
        <v>75</v>
      </c>
      <c r="AG7" s="423" t="s">
        <v>170</v>
      </c>
    </row>
    <row r="8" spans="1:33" ht="12.75">
      <c r="A8" s="433">
        <v>555</v>
      </c>
      <c r="B8" s="654" t="s">
        <v>73</v>
      </c>
      <c r="C8" s="383" t="str">
        <f t="shared" si="11"/>
        <v>tim meaden</v>
      </c>
      <c r="D8" s="196" t="s">
        <v>13</v>
      </c>
      <c r="E8" s="655" t="s">
        <v>491</v>
      </c>
      <c r="F8" s="654"/>
      <c r="G8" s="196" t="s">
        <v>484</v>
      </c>
      <c r="H8" s="656">
        <f t="shared" si="10"/>
      </c>
      <c r="I8" s="656">
        <f t="shared" si="10"/>
        <v>75</v>
      </c>
      <c r="J8" s="656">
        <f t="shared" si="10"/>
      </c>
      <c r="K8" s="656">
        <f t="shared" si="10"/>
      </c>
      <c r="L8" s="656">
        <f t="shared" si="10"/>
      </c>
      <c r="M8" s="656">
        <f t="shared" si="10"/>
      </c>
      <c r="N8" s="656">
        <f t="shared" si="10"/>
      </c>
      <c r="O8" s="656">
        <f t="shared" si="10"/>
      </c>
      <c r="P8" s="656">
        <f t="shared" si="10"/>
      </c>
      <c r="Q8" s="656">
        <f t="shared" si="10"/>
      </c>
      <c r="R8" s="656">
        <f t="shared" si="10"/>
      </c>
      <c r="S8" s="103">
        <f t="shared" si="1"/>
        <v>75</v>
      </c>
      <c r="T8" s="433">
        <f t="shared" si="12"/>
        <v>-60</v>
      </c>
      <c r="U8" s="657">
        <f>_xlfn.IFERROR(VLOOKUP(D8,BenchmarksRd4,3,0)*86400,"")</f>
        <v>95.917</v>
      </c>
      <c r="V8" s="658">
        <f t="shared" si="4"/>
        <v>9.563000000000002</v>
      </c>
      <c r="W8" s="206">
        <f t="shared" si="5"/>
        <v>-10</v>
      </c>
      <c r="X8" s="196">
        <f>_xlfn.IFERROR(VLOOKUP(D8,Class2018,4,0),"n/a")</f>
        <v>6</v>
      </c>
      <c r="Y8" s="196">
        <f>_xlfn.IFERROR(VLOOKUP(D8,Class2018,3,0),"n/a")</f>
        <v>10</v>
      </c>
      <c r="Z8" s="196">
        <f>IF($Y8="n/a","",_xlfn.IFERROR(COUNTIF($Y$2:$Y8,"="&amp;Y8),""))</f>
        <v>2</v>
      </c>
      <c r="AA8" s="196">
        <f>COUNTIF($X$2:X7,"&lt;"&amp;X8)</f>
        <v>5</v>
      </c>
      <c r="AB8" s="206">
        <f>IF($Y8="n/a",0,_xlfn.IFERROR(VLOOKUP(Z8+AA8,Points2018,2,0),15))</f>
        <v>15</v>
      </c>
      <c r="AC8" s="345">
        <f>(S8+T8+W8)</f>
        <v>5</v>
      </c>
      <c r="AE8" s="257" t="s">
        <v>51</v>
      </c>
      <c r="AF8" s="351" t="s">
        <v>88</v>
      </c>
      <c r="AG8" s="552">
        <v>0.0011904398148148147</v>
      </c>
    </row>
    <row r="9" spans="1:33" ht="12.75">
      <c r="A9" s="105">
        <v>141</v>
      </c>
      <c r="B9" s="102" t="s">
        <v>111</v>
      </c>
      <c r="C9" s="383" t="str">
        <f t="shared" si="11"/>
        <v>max lloyd</v>
      </c>
      <c r="D9" s="36" t="s">
        <v>21</v>
      </c>
      <c r="E9" s="321" t="s">
        <v>492</v>
      </c>
      <c r="F9" s="35"/>
      <c r="G9" s="36" t="s">
        <v>487</v>
      </c>
      <c r="H9" s="249">
        <f t="shared" si="10"/>
      </c>
      <c r="I9" s="249">
        <f t="shared" si="10"/>
      </c>
      <c r="J9" s="249">
        <f t="shared" si="10"/>
      </c>
      <c r="K9" s="249">
        <f t="shared" si="10"/>
      </c>
      <c r="L9" s="249">
        <f t="shared" si="10"/>
      </c>
      <c r="M9" s="249">
        <f t="shared" si="10"/>
        <v>75</v>
      </c>
      <c r="N9" s="249">
        <f t="shared" si="10"/>
      </c>
      <c r="O9" s="249">
        <f t="shared" si="10"/>
      </c>
      <c r="P9" s="249">
        <f t="shared" si="10"/>
      </c>
      <c r="Q9" s="249">
        <f t="shared" si="10"/>
      </c>
      <c r="R9" s="249">
        <f t="shared" si="10"/>
      </c>
      <c r="S9" s="103">
        <f t="shared" si="1"/>
        <v>75</v>
      </c>
      <c r="T9" s="105">
        <f t="shared" si="12"/>
        <v>0</v>
      </c>
      <c r="U9" s="214">
        <f>_xlfn.IFERROR(VLOOKUP(D9,BenchmarksRd4,3,0)*86400,"")</f>
        <v>104.61699999999999</v>
      </c>
      <c r="V9" s="208">
        <f t="shared" si="4"/>
        <v>1.715999999999994</v>
      </c>
      <c r="W9" s="106">
        <f t="shared" si="5"/>
        <v>0</v>
      </c>
      <c r="X9" s="196">
        <f>_xlfn.IFERROR(VLOOKUP(D9,Class2018,4,0),"n/a")</f>
        <v>2</v>
      </c>
      <c r="Y9" s="196">
        <f>_xlfn.IFERROR(VLOOKUP(D9,Class2018,3,0),"n/a")</f>
        <v>4</v>
      </c>
      <c r="Z9" s="196">
        <f>IF($Y9="n/a","",_xlfn.IFERROR(COUNTIF($Y$2:$Y9,"="&amp;Y9),""))</f>
        <v>2</v>
      </c>
      <c r="AA9" s="196">
        <f>COUNTIF($X$2:X8,"&lt;"&amp;X9)</f>
        <v>0</v>
      </c>
      <c r="AB9" s="206">
        <f>IF($Y9="n/a",0,_xlfn.IFERROR(VLOOKUP(Z9+AA9,Points2018,2,0),15))</f>
        <v>75</v>
      </c>
      <c r="AC9" s="345">
        <f>(S9+T9+W9)</f>
        <v>75</v>
      </c>
      <c r="AE9" s="258" t="s">
        <v>52</v>
      </c>
      <c r="AF9" s="352" t="s">
        <v>74</v>
      </c>
      <c r="AG9" s="353">
        <v>0.0011504513888888888</v>
      </c>
    </row>
    <row r="10" spans="1:33" ht="12.75">
      <c r="A10" s="347">
        <v>242</v>
      </c>
      <c r="B10" s="1" t="s">
        <v>493</v>
      </c>
      <c r="C10" s="383" t="str">
        <f t="shared" si="11"/>
        <v>leon bogers</v>
      </c>
      <c r="D10" s="8" t="s">
        <v>26</v>
      </c>
      <c r="E10" s="11" t="s">
        <v>494</v>
      </c>
      <c r="F10" s="1"/>
      <c r="G10" s="8" t="s">
        <v>487</v>
      </c>
      <c r="H10" s="248">
        <f t="shared" si="10"/>
      </c>
      <c r="I10" s="248">
        <f t="shared" si="10"/>
      </c>
      <c r="J10" s="248">
        <f t="shared" si="10"/>
      </c>
      <c r="K10" s="248">
        <f t="shared" si="10"/>
      </c>
      <c r="L10" s="248">
        <f t="shared" si="10"/>
      </c>
      <c r="M10" s="248">
        <f t="shared" si="10"/>
      </c>
      <c r="N10" s="248">
        <f t="shared" si="10"/>
      </c>
      <c r="O10" s="248">
        <f t="shared" si="10"/>
      </c>
      <c r="P10" s="248">
        <f t="shared" si="10"/>
      </c>
      <c r="Q10" s="248">
        <f t="shared" si="10"/>
      </c>
      <c r="R10" s="248">
        <f t="shared" si="10"/>
      </c>
      <c r="S10" s="103">
        <f t="shared" si="1"/>
        <v>0</v>
      </c>
      <c r="T10" s="195">
        <f t="shared" si="12"/>
        <v>0</v>
      </c>
      <c r="U10" s="155">
        <f>_xlfn.IFERROR(VLOOKUP(D10,BenchmarksRd4,3,0)*86400,"")</f>
      </c>
      <c r="V10" s="209"/>
      <c r="W10" s="104"/>
      <c r="X10" s="196" t="str">
        <f>_xlfn.IFERROR(VLOOKUP(D10,Class2018,4,0),"n/a")</f>
        <v>n/a</v>
      </c>
      <c r="Y10" s="196" t="str">
        <f>_xlfn.IFERROR(VLOOKUP(D10,Class2018,3,0),"n/a")</f>
        <v>n/a</v>
      </c>
      <c r="Z10" s="196">
        <f>IF($Y10="n/a","",_xlfn.IFERROR(COUNTIF($Y$2:$Y10,"="&amp;Y10),""))</f>
      </c>
      <c r="AA10" s="196">
        <f>COUNTIF($X$2:X9,"&lt;"&amp;X10)</f>
        <v>0</v>
      </c>
      <c r="AB10" s="206">
        <f>IF($Y10="n/a",0,_xlfn.IFERROR(VLOOKUP(Z10+AA10,Points2018,2,0),15))</f>
        <v>0</v>
      </c>
      <c r="AC10" s="345">
        <f>(S10+T10+W10)</f>
        <v>0</v>
      </c>
      <c r="AE10" s="259" t="s">
        <v>16</v>
      </c>
      <c r="AF10" s="354" t="s">
        <v>106</v>
      </c>
      <c r="AG10" s="632">
        <v>0.001114502314814815</v>
      </c>
    </row>
    <row r="11" spans="1:33" ht="12.75">
      <c r="A11" s="281">
        <v>26</v>
      </c>
      <c r="B11" s="142" t="s">
        <v>76</v>
      </c>
      <c r="C11" s="383" t="str">
        <f t="shared" si="11"/>
        <v>robert downes</v>
      </c>
      <c r="D11" s="418" t="s">
        <v>4</v>
      </c>
      <c r="E11" s="322" t="s">
        <v>495</v>
      </c>
      <c r="F11" s="142"/>
      <c r="G11" s="418" t="s">
        <v>487</v>
      </c>
      <c r="H11" s="279">
        <f t="shared" si="10"/>
      </c>
      <c r="I11" s="279">
        <f t="shared" si="10"/>
      </c>
      <c r="J11" s="279">
        <f t="shared" si="10"/>
      </c>
      <c r="K11" s="279">
        <f t="shared" si="10"/>
      </c>
      <c r="L11" s="279">
        <f t="shared" si="10"/>
      </c>
      <c r="M11" s="279">
        <f t="shared" si="10"/>
      </c>
      <c r="N11" s="279">
        <f t="shared" si="10"/>
      </c>
      <c r="O11" s="279">
        <f t="shared" si="10"/>
      </c>
      <c r="P11" s="279">
        <f t="shared" si="10"/>
        <v>100</v>
      </c>
      <c r="Q11" s="279">
        <f t="shared" si="10"/>
      </c>
      <c r="R11" s="279">
        <f t="shared" si="10"/>
      </c>
      <c r="S11" s="103">
        <f t="shared" si="1"/>
        <v>100</v>
      </c>
      <c r="T11" s="281">
        <f t="shared" si="2"/>
        <v>-40</v>
      </c>
      <c r="U11" s="282">
        <f t="shared" si="3"/>
        <v>103.668</v>
      </c>
      <c r="V11" s="283">
        <f aca="true" t="shared" si="13" ref="V11:V19">(($E11*86400)-U11)</f>
        <v>4</v>
      </c>
      <c r="W11" s="284">
        <f aca="true" t="shared" si="14" ref="W11:W19">IF(V11&lt;=0,10,IF(V11&lt;1,5,IF(V11&lt;2,0,IF(V11&lt;3,-5,-10))))</f>
        <v>-10</v>
      </c>
      <c r="X11" s="196">
        <f t="shared" si="6"/>
        <v>3</v>
      </c>
      <c r="Y11" s="196">
        <f t="shared" si="7"/>
        <v>5</v>
      </c>
      <c r="Z11" s="196">
        <f>IF($Y11="n/a","",_xlfn.IFERROR(COUNTIF($Y$2:$Y11,"="&amp;Y11),""))</f>
        <v>1</v>
      </c>
      <c r="AA11" s="196">
        <f>COUNTIF($X$2:X10,"&lt;"&amp;X11)</f>
        <v>2</v>
      </c>
      <c r="AB11" s="206">
        <f t="shared" si="8"/>
        <v>60</v>
      </c>
      <c r="AC11" s="345">
        <f t="shared" si="9"/>
        <v>50</v>
      </c>
      <c r="AE11" s="260" t="s">
        <v>13</v>
      </c>
      <c r="AF11" s="356" t="s">
        <v>82</v>
      </c>
      <c r="AG11" s="357">
        <v>0.001110150462962963</v>
      </c>
    </row>
    <row r="12" spans="1:33" ht="13.5" thickBot="1">
      <c r="A12" s="347">
        <v>37</v>
      </c>
      <c r="B12" s="1" t="s">
        <v>449</v>
      </c>
      <c r="C12" s="383" t="str">
        <f t="shared" si="11"/>
        <v>tom whelan</v>
      </c>
      <c r="D12" s="8" t="s">
        <v>26</v>
      </c>
      <c r="E12" s="11" t="s">
        <v>496</v>
      </c>
      <c r="F12" s="1"/>
      <c r="G12" s="8" t="s">
        <v>487</v>
      </c>
      <c r="H12" s="248">
        <f t="shared" si="10"/>
      </c>
      <c r="I12" s="248">
        <f t="shared" si="10"/>
      </c>
      <c r="J12" s="248">
        <f t="shared" si="10"/>
      </c>
      <c r="K12" s="248">
        <f t="shared" si="10"/>
      </c>
      <c r="L12" s="248">
        <f t="shared" si="10"/>
      </c>
      <c r="M12" s="248">
        <f t="shared" si="10"/>
      </c>
      <c r="N12" s="248">
        <f t="shared" si="10"/>
      </c>
      <c r="O12" s="248">
        <f t="shared" si="10"/>
      </c>
      <c r="P12" s="248">
        <f t="shared" si="10"/>
      </c>
      <c r="Q12" s="248">
        <f t="shared" si="10"/>
      </c>
      <c r="R12" s="248">
        <f t="shared" si="10"/>
      </c>
      <c r="S12" s="103">
        <f t="shared" si="1"/>
        <v>0</v>
      </c>
      <c r="T12" s="195">
        <f t="shared" si="2"/>
        <v>0</v>
      </c>
      <c r="U12" s="155">
        <f t="shared" si="3"/>
      </c>
      <c r="V12" s="209"/>
      <c r="W12" s="104"/>
      <c r="X12" s="196" t="str">
        <f t="shared" si="6"/>
        <v>n/a</v>
      </c>
      <c r="Y12" s="196" t="str">
        <f t="shared" si="7"/>
        <v>n/a</v>
      </c>
      <c r="Z12" s="196">
        <f>IF($Y12="n/a","",_xlfn.IFERROR(COUNTIF($Y$2:$Y12,"="&amp;Y12),""))</f>
      </c>
      <c r="AA12" s="196">
        <f>COUNTIF($X$2:X11,"&lt;"&amp;X12)</f>
        <v>0</v>
      </c>
      <c r="AB12" s="206">
        <f t="shared" si="8"/>
        <v>0</v>
      </c>
      <c r="AC12" s="345">
        <f t="shared" si="9"/>
        <v>0</v>
      </c>
      <c r="AE12" s="261" t="s">
        <v>14</v>
      </c>
      <c r="AF12" s="425" t="s">
        <v>162</v>
      </c>
      <c r="AG12" s="426" t="s">
        <v>163</v>
      </c>
    </row>
    <row r="13" spans="1:29" ht="12.75">
      <c r="A13" s="404">
        <v>55</v>
      </c>
      <c r="B13" s="405" t="s">
        <v>180</v>
      </c>
      <c r="C13" s="383" t="str">
        <f t="shared" si="11"/>
        <v>kutay dal</v>
      </c>
      <c r="D13" s="406" t="s">
        <v>3</v>
      </c>
      <c r="E13" s="653" t="s">
        <v>497</v>
      </c>
      <c r="F13" s="405"/>
      <c r="G13" s="406" t="s">
        <v>487</v>
      </c>
      <c r="H13" s="408">
        <f t="shared" si="10"/>
      </c>
      <c r="I13" s="408">
        <f t="shared" si="10"/>
      </c>
      <c r="J13" s="408">
        <f t="shared" si="10"/>
      </c>
      <c r="K13" s="408">
        <f t="shared" si="10"/>
      </c>
      <c r="L13" s="408">
        <f t="shared" si="10"/>
      </c>
      <c r="M13" s="408">
        <f t="shared" si="10"/>
      </c>
      <c r="N13" s="408">
        <f t="shared" si="10"/>
      </c>
      <c r="O13" s="408">
        <f t="shared" si="10"/>
      </c>
      <c r="P13" s="408">
        <f t="shared" si="10"/>
      </c>
      <c r="Q13" s="408">
        <f t="shared" si="10"/>
      </c>
      <c r="R13" s="408">
        <f t="shared" si="10"/>
        <v>100</v>
      </c>
      <c r="S13" s="103">
        <f t="shared" si="1"/>
        <v>100</v>
      </c>
      <c r="T13" s="404">
        <f t="shared" si="2"/>
        <v>0</v>
      </c>
      <c r="U13" s="416">
        <f t="shared" si="3"/>
        <v>107.387</v>
      </c>
      <c r="V13" s="417">
        <f t="shared" si="13"/>
        <v>1.5250000000000057</v>
      </c>
      <c r="W13" s="530">
        <f t="shared" si="14"/>
        <v>0</v>
      </c>
      <c r="X13" s="196">
        <f t="shared" si="6"/>
        <v>1</v>
      </c>
      <c r="Y13" s="196">
        <f t="shared" si="7"/>
        <v>1</v>
      </c>
      <c r="Z13" s="196">
        <f>IF($Y13="n/a","",_xlfn.IFERROR(COUNTIF($Y$2:$Y13,"="&amp;Y13),""))</f>
        <v>1</v>
      </c>
      <c r="AA13" s="196">
        <f>COUNTIF($X$2:X12,"&lt;"&amp;X13)</f>
        <v>0</v>
      </c>
      <c r="AB13" s="206">
        <f t="shared" si="8"/>
        <v>100</v>
      </c>
      <c r="AC13" s="345">
        <f t="shared" si="9"/>
        <v>100</v>
      </c>
    </row>
    <row r="14" spans="1:29" ht="12">
      <c r="A14" s="107">
        <v>77</v>
      </c>
      <c r="B14" s="47" t="s">
        <v>78</v>
      </c>
      <c r="C14" s="383" t="str">
        <f t="shared" si="11"/>
        <v>simeon ouzas</v>
      </c>
      <c r="D14" s="48" t="s">
        <v>5</v>
      </c>
      <c r="E14" s="54" t="s">
        <v>498</v>
      </c>
      <c r="F14" s="47"/>
      <c r="G14" s="48" t="s">
        <v>487</v>
      </c>
      <c r="H14" s="250">
        <f t="shared" si="10"/>
      </c>
      <c r="I14" s="250">
        <f t="shared" si="10"/>
      </c>
      <c r="J14" s="250">
        <f t="shared" si="10"/>
      </c>
      <c r="K14" s="250">
        <f t="shared" si="10"/>
      </c>
      <c r="L14" s="250">
        <f t="shared" si="10"/>
      </c>
      <c r="M14" s="250">
        <f t="shared" si="10"/>
      </c>
      <c r="N14" s="250">
        <f t="shared" si="10"/>
      </c>
      <c r="O14" s="250">
        <f t="shared" si="10"/>
      </c>
      <c r="P14" s="250">
        <f t="shared" si="10"/>
      </c>
      <c r="Q14" s="250">
        <f t="shared" si="10"/>
        <v>100</v>
      </c>
      <c r="R14" s="250">
        <f t="shared" si="10"/>
      </c>
      <c r="S14" s="103">
        <f t="shared" si="1"/>
        <v>100</v>
      </c>
      <c r="T14" s="107">
        <f t="shared" si="2"/>
        <v>0</v>
      </c>
      <c r="U14" s="215">
        <f t="shared" si="3"/>
        <v>105.3</v>
      </c>
      <c r="V14" s="210">
        <f t="shared" si="13"/>
        <v>3.6170000000000044</v>
      </c>
      <c r="W14" s="108">
        <f t="shared" si="14"/>
        <v>-10</v>
      </c>
      <c r="X14" s="196">
        <f t="shared" si="6"/>
        <v>1</v>
      </c>
      <c r="Y14" s="196">
        <f t="shared" si="7"/>
        <v>2</v>
      </c>
      <c r="Z14" s="196">
        <f>IF($Y14="n/a","",_xlfn.IFERROR(COUNTIF($Y$2:$Y14,"="&amp;Y14),""))</f>
        <v>1</v>
      </c>
      <c r="AA14" s="196">
        <f>COUNTIF($X$2:X13,"&lt;"&amp;X14)</f>
        <v>0</v>
      </c>
      <c r="AB14" s="206">
        <f t="shared" si="8"/>
        <v>100</v>
      </c>
      <c r="AC14" s="345">
        <f t="shared" si="9"/>
        <v>90</v>
      </c>
    </row>
    <row r="15" spans="1:29" ht="12">
      <c r="A15" s="347">
        <v>34</v>
      </c>
      <c r="B15" s="1" t="s">
        <v>499</v>
      </c>
      <c r="C15" s="383" t="str">
        <f t="shared" si="11"/>
        <v>tim van dul</v>
      </c>
      <c r="D15" s="8" t="s">
        <v>26</v>
      </c>
      <c r="E15" s="11" t="s">
        <v>500</v>
      </c>
      <c r="F15" s="1"/>
      <c r="G15" s="8" t="s">
        <v>487</v>
      </c>
      <c r="H15" s="248">
        <f t="shared" si="10"/>
      </c>
      <c r="I15" s="248">
        <f t="shared" si="10"/>
      </c>
      <c r="J15" s="248">
        <f t="shared" si="10"/>
      </c>
      <c r="K15" s="248">
        <f t="shared" si="10"/>
      </c>
      <c r="L15" s="248">
        <f t="shared" si="10"/>
      </c>
      <c r="M15" s="248">
        <f t="shared" si="10"/>
      </c>
      <c r="N15" s="248">
        <f t="shared" si="10"/>
      </c>
      <c r="O15" s="248">
        <f t="shared" si="10"/>
      </c>
      <c r="P15" s="248">
        <f t="shared" si="10"/>
      </c>
      <c r="Q15" s="248">
        <f t="shared" si="10"/>
      </c>
      <c r="R15" s="248">
        <f t="shared" si="10"/>
      </c>
      <c r="S15" s="103">
        <f t="shared" si="1"/>
        <v>0</v>
      </c>
      <c r="T15" s="195">
        <f t="shared" si="2"/>
        <v>0</v>
      </c>
      <c r="U15" s="155">
        <f t="shared" si="3"/>
      </c>
      <c r="V15" s="209"/>
      <c r="W15" s="104"/>
      <c r="X15" s="196" t="str">
        <f t="shared" si="6"/>
        <v>n/a</v>
      </c>
      <c r="Y15" s="196" t="str">
        <f t="shared" si="7"/>
        <v>n/a</v>
      </c>
      <c r="Z15" s="196">
        <f>IF($Y15="n/a","",_xlfn.IFERROR(COUNTIF($Y$2:$Y15,"="&amp;Y15),""))</f>
      </c>
      <c r="AA15" s="196">
        <f>COUNTIF($X$2:X14,"&lt;"&amp;X15)</f>
        <v>0</v>
      </c>
      <c r="AB15" s="206">
        <f t="shared" si="8"/>
        <v>0</v>
      </c>
      <c r="AC15" s="345">
        <f t="shared" si="9"/>
        <v>0</v>
      </c>
    </row>
    <row r="16" spans="1:29" ht="12">
      <c r="A16" s="347">
        <v>68</v>
      </c>
      <c r="B16" s="1" t="s">
        <v>501</v>
      </c>
      <c r="C16" s="383" t="str">
        <f t="shared" si="11"/>
        <v>andrew clayton</v>
      </c>
      <c r="D16" s="8" t="s">
        <v>26</v>
      </c>
      <c r="E16" s="11" t="s">
        <v>502</v>
      </c>
      <c r="F16" s="1"/>
      <c r="G16" s="8" t="s">
        <v>503</v>
      </c>
      <c r="H16" s="248">
        <f t="shared" si="10"/>
      </c>
      <c r="I16" s="248">
        <f t="shared" si="10"/>
      </c>
      <c r="J16" s="248">
        <f t="shared" si="10"/>
      </c>
      <c r="K16" s="248">
        <f t="shared" si="10"/>
      </c>
      <c r="L16" s="248">
        <f t="shared" si="10"/>
      </c>
      <c r="M16" s="248">
        <f t="shared" si="10"/>
      </c>
      <c r="N16" s="248">
        <f t="shared" si="10"/>
      </c>
      <c r="O16" s="248">
        <f t="shared" si="10"/>
      </c>
      <c r="P16" s="248">
        <f t="shared" si="10"/>
      </c>
      <c r="Q16" s="248">
        <f t="shared" si="10"/>
      </c>
      <c r="R16" s="248">
        <f t="shared" si="10"/>
      </c>
      <c r="S16" s="103">
        <f t="shared" si="1"/>
        <v>0</v>
      </c>
      <c r="T16" s="195">
        <f t="shared" si="2"/>
        <v>0</v>
      </c>
      <c r="U16" s="155">
        <f t="shared" si="3"/>
      </c>
      <c r="V16" s="209"/>
      <c r="W16" s="104"/>
      <c r="X16" s="196" t="str">
        <f t="shared" si="6"/>
        <v>n/a</v>
      </c>
      <c r="Y16" s="196" t="str">
        <f t="shared" si="7"/>
        <v>n/a</v>
      </c>
      <c r="Z16" s="196">
        <f>IF($Y16="n/a","",_xlfn.IFERROR(COUNTIF($Y$2:$Y16,"="&amp;Y16),""))</f>
      </c>
      <c r="AA16" s="196">
        <f>COUNTIF($X$2:X15,"&lt;"&amp;X16)</f>
        <v>0</v>
      </c>
      <c r="AB16" s="206">
        <f t="shared" si="8"/>
        <v>0</v>
      </c>
      <c r="AC16" s="345">
        <f t="shared" si="9"/>
        <v>0</v>
      </c>
    </row>
    <row r="17" spans="1:29" ht="12">
      <c r="A17" s="389">
        <v>86</v>
      </c>
      <c r="B17" s="390" t="s">
        <v>417</v>
      </c>
      <c r="C17" s="383" t="str">
        <f t="shared" si="11"/>
        <v>simon acfield</v>
      </c>
      <c r="D17" s="391" t="s">
        <v>51</v>
      </c>
      <c r="E17" s="563" t="s">
        <v>504</v>
      </c>
      <c r="F17" s="390"/>
      <c r="G17" s="391" t="s">
        <v>487</v>
      </c>
      <c r="H17" s="392">
        <f t="shared" si="10"/>
      </c>
      <c r="I17" s="392">
        <f t="shared" si="10"/>
      </c>
      <c r="J17" s="392">
        <f t="shared" si="10"/>
      </c>
      <c r="K17" s="392">
        <f t="shared" si="10"/>
      </c>
      <c r="L17" s="392">
        <f t="shared" si="10"/>
        <v>75</v>
      </c>
      <c r="M17" s="392">
        <f t="shared" si="10"/>
      </c>
      <c r="N17" s="392">
        <f t="shared" si="10"/>
      </c>
      <c r="O17" s="392">
        <f t="shared" si="10"/>
      </c>
      <c r="P17" s="392">
        <f t="shared" si="10"/>
      </c>
      <c r="Q17" s="392">
        <f t="shared" si="10"/>
      </c>
      <c r="R17" s="392">
        <f t="shared" si="10"/>
      </c>
      <c r="S17" s="103">
        <f t="shared" si="1"/>
        <v>75</v>
      </c>
      <c r="T17" s="389">
        <f t="shared" si="2"/>
        <v>-60</v>
      </c>
      <c r="U17" s="400">
        <f t="shared" si="3"/>
        <v>102.854</v>
      </c>
      <c r="V17" s="401">
        <f t="shared" si="13"/>
        <v>9.636999999999986</v>
      </c>
      <c r="W17" s="584">
        <f t="shared" si="14"/>
        <v>-10</v>
      </c>
      <c r="X17" s="196">
        <f t="shared" si="6"/>
        <v>4</v>
      </c>
      <c r="Y17" s="196">
        <f t="shared" si="7"/>
        <v>7</v>
      </c>
      <c r="Z17" s="196">
        <f>IF($Y17="n/a","",_xlfn.IFERROR(COUNTIF($Y$2:$Y17,"="&amp;Y17),""))</f>
        <v>2</v>
      </c>
      <c r="AA17" s="196">
        <f>COUNTIF($X$2:X16,"&lt;"&amp;X17)</f>
        <v>6</v>
      </c>
      <c r="AB17" s="206">
        <f t="shared" si="8"/>
        <v>15</v>
      </c>
      <c r="AC17" s="345">
        <f t="shared" si="9"/>
        <v>5</v>
      </c>
    </row>
    <row r="18" spans="1:29" ht="12">
      <c r="A18" s="404">
        <v>19</v>
      </c>
      <c r="B18" s="405" t="s">
        <v>505</v>
      </c>
      <c r="C18" s="383" t="str">
        <f t="shared" si="11"/>
        <v>daryl ervine</v>
      </c>
      <c r="D18" s="406" t="s">
        <v>3</v>
      </c>
      <c r="E18" s="653" t="s">
        <v>506</v>
      </c>
      <c r="F18" s="405"/>
      <c r="G18" s="406" t="s">
        <v>487</v>
      </c>
      <c r="H18" s="408">
        <f t="shared" si="10"/>
      </c>
      <c r="I18" s="408">
        <f t="shared" si="10"/>
      </c>
      <c r="J18" s="408">
        <f t="shared" si="10"/>
      </c>
      <c r="K18" s="408">
        <f t="shared" si="10"/>
      </c>
      <c r="L18" s="408">
        <f t="shared" si="10"/>
      </c>
      <c r="M18" s="408">
        <f t="shared" si="10"/>
      </c>
      <c r="N18" s="408">
        <f t="shared" si="10"/>
      </c>
      <c r="O18" s="408">
        <f t="shared" si="10"/>
      </c>
      <c r="P18" s="408">
        <f t="shared" si="10"/>
      </c>
      <c r="Q18" s="408">
        <f t="shared" si="10"/>
      </c>
      <c r="R18" s="408">
        <f t="shared" si="10"/>
        <v>75</v>
      </c>
      <c r="S18" s="103">
        <f t="shared" si="1"/>
        <v>75</v>
      </c>
      <c r="T18" s="404">
        <f t="shared" si="2"/>
        <v>0</v>
      </c>
      <c r="U18" s="416">
        <f t="shared" si="3"/>
        <v>107.387</v>
      </c>
      <c r="V18" s="417">
        <f t="shared" si="13"/>
        <v>11.305999999999983</v>
      </c>
      <c r="W18" s="530">
        <f t="shared" si="14"/>
        <v>-10</v>
      </c>
      <c r="X18" s="196">
        <f t="shared" si="6"/>
        <v>1</v>
      </c>
      <c r="Y18" s="196">
        <f t="shared" si="7"/>
        <v>1</v>
      </c>
      <c r="Z18" s="196">
        <f>IF($Y18="n/a","",_xlfn.IFERROR(COUNTIF($Y$2:$Y18,"="&amp;Y18),""))</f>
        <v>2</v>
      </c>
      <c r="AA18" s="196">
        <f>COUNTIF($X$2:X17,"&lt;"&amp;X18)</f>
        <v>0</v>
      </c>
      <c r="AB18" s="206">
        <f t="shared" si="8"/>
        <v>75</v>
      </c>
      <c r="AC18" s="345">
        <f t="shared" si="9"/>
        <v>65</v>
      </c>
    </row>
    <row r="19" spans="1:29" ht="12">
      <c r="A19" s="107">
        <v>737</v>
      </c>
      <c r="B19" s="47" t="s">
        <v>507</v>
      </c>
      <c r="C19" s="383" t="str">
        <f t="shared" si="11"/>
        <v>stuart dawson</v>
      </c>
      <c r="D19" s="48" t="s">
        <v>5</v>
      </c>
      <c r="E19" s="54" t="s">
        <v>508</v>
      </c>
      <c r="F19" s="47"/>
      <c r="G19" s="48" t="s">
        <v>487</v>
      </c>
      <c r="H19" s="250">
        <f t="shared" si="10"/>
      </c>
      <c r="I19" s="250">
        <f t="shared" si="10"/>
      </c>
      <c r="J19" s="250">
        <f t="shared" si="10"/>
      </c>
      <c r="K19" s="250">
        <f t="shared" si="10"/>
      </c>
      <c r="L19" s="250">
        <f t="shared" si="10"/>
      </c>
      <c r="M19" s="250">
        <f t="shared" si="10"/>
      </c>
      <c r="N19" s="250">
        <f t="shared" si="10"/>
      </c>
      <c r="O19" s="250">
        <f t="shared" si="10"/>
      </c>
      <c r="P19" s="250">
        <f t="shared" si="10"/>
      </c>
      <c r="Q19" s="250">
        <f t="shared" si="10"/>
        <v>75</v>
      </c>
      <c r="R19" s="250">
        <f t="shared" si="10"/>
      </c>
      <c r="S19" s="103">
        <f t="shared" si="1"/>
        <v>75</v>
      </c>
      <c r="T19" s="107">
        <f t="shared" si="2"/>
        <v>0</v>
      </c>
      <c r="U19" s="215">
        <f t="shared" si="3"/>
        <v>105.3</v>
      </c>
      <c r="V19" s="210">
        <f t="shared" si="13"/>
        <v>13.796000000000006</v>
      </c>
      <c r="W19" s="108">
        <f t="shared" si="14"/>
        <v>-10</v>
      </c>
      <c r="X19" s="196">
        <f t="shared" si="6"/>
        <v>1</v>
      </c>
      <c r="Y19" s="196">
        <f t="shared" si="7"/>
        <v>2</v>
      </c>
      <c r="Z19" s="196">
        <f>IF($Y19="n/a","",_xlfn.IFERROR(COUNTIF($Y$2:$Y19,"="&amp;Y19),""))</f>
        <v>2</v>
      </c>
      <c r="AA19" s="196">
        <f>COUNTIF($X$2:X18,"&lt;"&amp;X19)</f>
        <v>0</v>
      </c>
      <c r="AB19" s="206">
        <f t="shared" si="8"/>
        <v>75</v>
      </c>
      <c r="AC19" s="345">
        <f t="shared" si="9"/>
        <v>65</v>
      </c>
    </row>
    <row r="20" spans="1:29" ht="12.75" thickBot="1">
      <c r="A20" s="361">
        <v>41</v>
      </c>
      <c r="B20" s="272" t="s">
        <v>509</v>
      </c>
      <c r="C20" s="383" t="str">
        <f t="shared" si="11"/>
        <v>hristos alcefski</v>
      </c>
      <c r="D20" s="360" t="s">
        <v>26</v>
      </c>
      <c r="E20" s="330" t="s">
        <v>510</v>
      </c>
      <c r="F20" s="272"/>
      <c r="G20" s="360" t="s">
        <v>487</v>
      </c>
      <c r="H20" s="285">
        <f t="shared" si="10"/>
      </c>
      <c r="I20" s="285">
        <f t="shared" si="10"/>
      </c>
      <c r="J20" s="285">
        <f t="shared" si="10"/>
      </c>
      <c r="K20" s="285">
        <f t="shared" si="10"/>
      </c>
      <c r="L20" s="285">
        <f t="shared" si="10"/>
      </c>
      <c r="M20" s="285">
        <f t="shared" si="10"/>
      </c>
      <c r="N20" s="285">
        <f t="shared" si="10"/>
      </c>
      <c r="O20" s="285">
        <f t="shared" si="10"/>
      </c>
      <c r="P20" s="285">
        <f t="shared" si="10"/>
      </c>
      <c r="Q20" s="285">
        <f t="shared" si="10"/>
      </c>
      <c r="R20" s="285">
        <f t="shared" si="10"/>
      </c>
      <c r="S20" s="580">
        <f t="shared" si="1"/>
        <v>0</v>
      </c>
      <c r="T20" s="201">
        <f t="shared" si="2"/>
        <v>0</v>
      </c>
      <c r="U20" s="162">
        <f t="shared" si="3"/>
      </c>
      <c r="V20" s="271"/>
      <c r="W20" s="176"/>
      <c r="X20" s="435" t="str">
        <f>_xlfn.IFERROR(VLOOKUP(D20,Class2018,4,0),"n/a")</f>
        <v>n/a</v>
      </c>
      <c r="Y20" s="435" t="str">
        <f>_xlfn.IFERROR(VLOOKUP(D20,Class2018,3,0),"n/a")</f>
        <v>n/a</v>
      </c>
      <c r="Z20" s="435">
        <f>IF($Y20="n/a","",_xlfn.IFERROR(COUNTIF($Y$2:$Y20,"="&amp;Y20),""))</f>
      </c>
      <c r="AA20" s="435">
        <f>COUNTIF($X$2:X19,"&lt;"&amp;X20)</f>
        <v>0</v>
      </c>
      <c r="AB20" s="436">
        <f>IF($Y20="n/a",0,_xlfn.IFERROR(VLOOKUP(Z20+AA20,Points2018,2,0),15))</f>
        <v>0</v>
      </c>
      <c r="AC20" s="475">
        <f t="shared" si="9"/>
        <v>0</v>
      </c>
    </row>
    <row r="21" spans="6:29" ht="12.75" thickBot="1">
      <c r="F21" s="175"/>
      <c r="G21" s="177" t="s">
        <v>27</v>
      </c>
      <c r="H21" s="178">
        <f aca="true" t="shared" si="15" ref="H21:S21">COUNT(H2:H20)</f>
        <v>0</v>
      </c>
      <c r="I21" s="178">
        <f t="shared" si="15"/>
        <v>2</v>
      </c>
      <c r="J21" s="178">
        <f t="shared" si="15"/>
        <v>1</v>
      </c>
      <c r="K21" s="178">
        <f t="shared" si="15"/>
        <v>1</v>
      </c>
      <c r="L21" s="178">
        <f t="shared" si="15"/>
        <v>2</v>
      </c>
      <c r="M21" s="178">
        <f t="shared" si="15"/>
        <v>2</v>
      </c>
      <c r="N21" s="178">
        <f t="shared" si="15"/>
        <v>0</v>
      </c>
      <c r="O21" s="178">
        <f t="shared" si="15"/>
        <v>1</v>
      </c>
      <c r="P21" s="178">
        <f t="shared" si="15"/>
        <v>1</v>
      </c>
      <c r="Q21" s="178">
        <f t="shared" si="15"/>
        <v>2</v>
      </c>
      <c r="R21" s="178">
        <f t="shared" si="15"/>
        <v>2</v>
      </c>
      <c r="S21" s="316">
        <f t="shared" si="15"/>
        <v>19</v>
      </c>
      <c r="T21" s="216"/>
      <c r="U21" s="216"/>
      <c r="V21" s="204"/>
      <c r="W21" s="216"/>
      <c r="X21" s="216"/>
      <c r="Y21" s="216"/>
      <c r="Z21" s="216"/>
      <c r="AA21" s="216"/>
      <c r="AB21" s="216"/>
      <c r="AC21" s="216"/>
    </row>
    <row r="22" spans="20:29" ht="12">
      <c r="T22" s="8"/>
      <c r="U22" s="1"/>
      <c r="V22" s="204"/>
      <c r="W22" s="1"/>
      <c r="X22" s="8"/>
      <c r="Y22" s="8"/>
      <c r="Z22" s="8"/>
      <c r="AA22" s="8"/>
      <c r="AB22" s="8"/>
      <c r="AC22" s="1"/>
    </row>
    <row r="23" spans="2:28" ht="12">
      <c r="B23" s="2"/>
      <c r="C23" s="2"/>
      <c r="D23" s="111"/>
      <c r="T23" s="111"/>
      <c r="X23" s="111"/>
      <c r="Y23" s="111"/>
      <c r="Z23" s="111"/>
      <c r="AA23" s="111"/>
      <c r="AB23" s="111"/>
    </row>
  </sheetData>
  <sheetProtection/>
  <mergeCells count="1">
    <mergeCell ref="AE1:AG1"/>
  </mergeCells>
  <printOptions/>
  <pageMargins left="0.7" right="0.7" top="0.75" bottom="0.75" header="0.3" footer="0.3"/>
  <pageSetup horizontalDpi="300" verticalDpi="3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M40"/>
  <sheetViews>
    <sheetView zoomScalePageLayoutView="0" workbookViewId="0" topLeftCell="A1">
      <selection activeCell="E28" sqref="E28"/>
    </sheetView>
  </sheetViews>
  <sheetFormatPr defaultColWidth="8.8515625" defaultRowHeight="12.75"/>
  <cols>
    <col min="1" max="1" width="8.140625" style="32" customWidth="1"/>
    <col min="2" max="2" width="37.7109375" style="31" customWidth="1"/>
    <col min="3" max="3" width="8.8515625" style="32" customWidth="1"/>
    <col min="4" max="16384" width="8.8515625" style="32" customWidth="1"/>
  </cols>
  <sheetData>
    <row r="1" ht="12">
      <c r="A1" s="30" t="s">
        <v>12</v>
      </c>
    </row>
    <row r="2" spans="1:2" ht="14.25">
      <c r="A2" s="33" t="s">
        <v>15</v>
      </c>
      <c r="B2" s="117" t="s">
        <v>35</v>
      </c>
    </row>
    <row r="3" spans="1:2" ht="14.25">
      <c r="A3" s="33" t="s">
        <v>15</v>
      </c>
      <c r="B3" s="117" t="s">
        <v>36</v>
      </c>
    </row>
    <row r="4" spans="1:13" ht="25.5" customHeight="1">
      <c r="A4" s="33" t="s">
        <v>15</v>
      </c>
      <c r="B4" s="666" t="s">
        <v>104</v>
      </c>
      <c r="C4" s="666"/>
      <c r="D4" s="666"/>
      <c r="E4" s="666"/>
      <c r="F4" s="666"/>
      <c r="G4" s="666"/>
      <c r="H4" s="666"/>
      <c r="I4" s="666"/>
      <c r="J4" s="666"/>
      <c r="K4" s="666"/>
      <c r="L4" s="666"/>
      <c r="M4" s="666"/>
    </row>
    <row r="6" ht="12.75" thickBot="1">
      <c r="A6" s="30" t="s">
        <v>99</v>
      </c>
    </row>
    <row r="7" spans="1:5" ht="12.75" thickBot="1">
      <c r="A7" s="222" t="s">
        <v>2</v>
      </c>
      <c r="B7" s="219" t="s">
        <v>92</v>
      </c>
      <c r="C7" s="223" t="s">
        <v>91</v>
      </c>
      <c r="D7" s="221" t="s">
        <v>93</v>
      </c>
      <c r="E7" s="220"/>
    </row>
    <row r="8" spans="1:5" ht="12">
      <c r="A8" s="226" t="s">
        <v>3</v>
      </c>
      <c r="B8" s="225" t="s">
        <v>100</v>
      </c>
      <c r="C8" s="224">
        <v>1</v>
      </c>
      <c r="D8" s="227">
        <v>1</v>
      </c>
      <c r="E8" s="667" t="s">
        <v>90</v>
      </c>
    </row>
    <row r="9" spans="1:5" ht="12.75" thickBot="1">
      <c r="A9" s="230" t="s">
        <v>5</v>
      </c>
      <c r="B9" s="229" t="s">
        <v>101</v>
      </c>
      <c r="C9" s="228">
        <v>2</v>
      </c>
      <c r="D9" s="231">
        <v>1</v>
      </c>
      <c r="E9" s="668"/>
    </row>
    <row r="10" spans="1:5" ht="12">
      <c r="A10" s="226" t="s">
        <v>22</v>
      </c>
      <c r="B10" s="225" t="s">
        <v>102</v>
      </c>
      <c r="C10" s="224">
        <v>3</v>
      </c>
      <c r="D10" s="227">
        <v>2</v>
      </c>
      <c r="E10" s="667" t="s">
        <v>90</v>
      </c>
    </row>
    <row r="11" spans="1:5" ht="12.75" thickBot="1">
      <c r="A11" s="230" t="s">
        <v>21</v>
      </c>
      <c r="B11" s="229" t="s">
        <v>19</v>
      </c>
      <c r="C11" s="228">
        <v>4</v>
      </c>
      <c r="D11" s="231">
        <v>2</v>
      </c>
      <c r="E11" s="668"/>
    </row>
    <row r="12" spans="1:5" ht="12">
      <c r="A12" s="226" t="s">
        <v>4</v>
      </c>
      <c r="B12" s="232" t="s">
        <v>9</v>
      </c>
      <c r="C12" s="224">
        <v>5</v>
      </c>
      <c r="D12" s="227">
        <v>3</v>
      </c>
      <c r="E12" s="667" t="s">
        <v>90</v>
      </c>
    </row>
    <row r="13" spans="1:5" ht="12.75" thickBot="1">
      <c r="A13" s="230" t="s">
        <v>50</v>
      </c>
      <c r="B13" s="233" t="s">
        <v>20</v>
      </c>
      <c r="C13" s="228">
        <v>6</v>
      </c>
      <c r="D13" s="231">
        <v>3</v>
      </c>
      <c r="E13" s="668"/>
    </row>
    <row r="14" spans="1:5" ht="12.75" customHeight="1">
      <c r="A14" s="226" t="s">
        <v>51</v>
      </c>
      <c r="B14" s="232" t="s">
        <v>48</v>
      </c>
      <c r="C14" s="224">
        <v>7</v>
      </c>
      <c r="D14" s="227">
        <v>4</v>
      </c>
      <c r="E14" s="667" t="s">
        <v>90</v>
      </c>
    </row>
    <row r="15" spans="1:5" ht="12.75" customHeight="1" thickBot="1">
      <c r="A15" s="230" t="s">
        <v>52</v>
      </c>
      <c r="B15" s="233" t="s">
        <v>49</v>
      </c>
      <c r="C15" s="228">
        <v>8</v>
      </c>
      <c r="D15" s="231">
        <v>4</v>
      </c>
      <c r="E15" s="668"/>
    </row>
    <row r="16" spans="1:5" ht="12.75" thickBot="1">
      <c r="A16" s="236" t="s">
        <v>16</v>
      </c>
      <c r="B16" s="235" t="s">
        <v>17</v>
      </c>
      <c r="C16" s="234">
        <v>9</v>
      </c>
      <c r="D16" s="237">
        <v>5</v>
      </c>
      <c r="E16" s="238"/>
    </row>
    <row r="17" spans="1:5" ht="12.75" thickBot="1">
      <c r="A17" s="230" t="s">
        <v>13</v>
      </c>
      <c r="B17" s="239" t="s">
        <v>11</v>
      </c>
      <c r="C17" s="228">
        <v>10</v>
      </c>
      <c r="D17" s="231">
        <v>6</v>
      </c>
      <c r="E17" s="240"/>
    </row>
    <row r="18" spans="1:5" ht="12.75" thickBot="1">
      <c r="A18" s="236" t="s">
        <v>14</v>
      </c>
      <c r="B18" s="235" t="s">
        <v>10</v>
      </c>
      <c r="C18" s="234">
        <v>11</v>
      </c>
      <c r="D18" s="237">
        <v>7</v>
      </c>
      <c r="E18" s="238"/>
    </row>
    <row r="19" spans="1:2" ht="12">
      <c r="A19" s="34"/>
      <c r="B19" s="32"/>
    </row>
    <row r="20" spans="1:2" ht="12">
      <c r="A20" s="218" t="s">
        <v>103</v>
      </c>
      <c r="B20" s="32"/>
    </row>
    <row r="21" spans="1:2" ht="12">
      <c r="A21" s="246" t="s">
        <v>0</v>
      </c>
      <c r="B21" s="172" t="s">
        <v>96</v>
      </c>
    </row>
    <row r="22" spans="1:2" ht="12">
      <c r="A22" s="199">
        <v>1</v>
      </c>
      <c r="B22" s="198">
        <v>100</v>
      </c>
    </row>
    <row r="23" spans="1:2" ht="12">
      <c r="A23" s="199">
        <v>2</v>
      </c>
      <c r="B23" s="198">
        <v>75</v>
      </c>
    </row>
    <row r="24" spans="1:2" ht="12">
      <c r="A24" s="199">
        <v>3</v>
      </c>
      <c r="B24" s="198">
        <v>60</v>
      </c>
    </row>
    <row r="25" spans="1:2" ht="12">
      <c r="A25" s="199">
        <v>4</v>
      </c>
      <c r="B25" s="198">
        <v>45</v>
      </c>
    </row>
    <row r="26" spans="1:2" ht="12">
      <c r="A26" s="199">
        <v>5</v>
      </c>
      <c r="B26" s="200">
        <v>30</v>
      </c>
    </row>
    <row r="27" spans="1:2" ht="12">
      <c r="A27" s="199">
        <v>6</v>
      </c>
      <c r="B27" s="200">
        <v>15</v>
      </c>
    </row>
    <row r="28" spans="1:2" ht="12">
      <c r="A28" s="199">
        <v>7</v>
      </c>
      <c r="B28" s="200">
        <v>15</v>
      </c>
    </row>
    <row r="29" spans="1:2" ht="12">
      <c r="A29" s="199">
        <v>8</v>
      </c>
      <c r="B29" s="200">
        <v>15</v>
      </c>
    </row>
    <row r="30" spans="1:2" ht="12">
      <c r="A30" s="199">
        <v>9</v>
      </c>
      <c r="B30" s="198">
        <v>15</v>
      </c>
    </row>
    <row r="31" spans="1:2" ht="12">
      <c r="A31" s="199">
        <v>10</v>
      </c>
      <c r="B31" s="198">
        <v>15</v>
      </c>
    </row>
    <row r="32" spans="1:2" ht="12">
      <c r="A32" s="197"/>
      <c r="B32" s="198"/>
    </row>
    <row r="34" spans="1:2" ht="15" thickBot="1">
      <c r="A34" s="121" t="s">
        <v>37</v>
      </c>
      <c r="B34" s="119"/>
    </row>
    <row r="35" spans="1:2" ht="15" thickBot="1">
      <c r="A35" s="243" t="s">
        <v>43</v>
      </c>
      <c r="B35" s="241" t="s">
        <v>38</v>
      </c>
    </row>
    <row r="36" spans="1:2" ht="15" thickBot="1">
      <c r="A36" s="244" t="s">
        <v>44</v>
      </c>
      <c r="B36" s="242" t="s">
        <v>39</v>
      </c>
    </row>
    <row r="37" spans="1:2" ht="15" thickBot="1">
      <c r="A37" s="244" t="s">
        <v>45</v>
      </c>
      <c r="B37" s="242" t="s">
        <v>40</v>
      </c>
    </row>
    <row r="38" spans="1:2" ht="15" thickBot="1">
      <c r="A38" s="244" t="s">
        <v>46</v>
      </c>
      <c r="B38" s="242" t="s">
        <v>41</v>
      </c>
    </row>
    <row r="39" spans="1:2" ht="15" thickBot="1">
      <c r="A39" s="245" t="s">
        <v>47</v>
      </c>
      <c r="B39" s="242" t="s">
        <v>42</v>
      </c>
    </row>
    <row r="40" spans="1:2" ht="12">
      <c r="A40" s="120"/>
      <c r="B40" s="118"/>
    </row>
  </sheetData>
  <sheetProtection/>
  <mergeCells count="5">
    <mergeCell ref="B4:M4"/>
    <mergeCell ref="E8:E9"/>
    <mergeCell ref="E10:E11"/>
    <mergeCell ref="E12:E13"/>
    <mergeCell ref="E14:E15"/>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MunCon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MX5 Vic Motorsport Championship</dc:title>
  <dc:subject>2008-9 Season Scoring</dc:subject>
  <dc:creator>pc</dc:creator>
  <cp:keywords/>
  <dc:description/>
  <cp:lastModifiedBy>Russell Garner</cp:lastModifiedBy>
  <cp:lastPrinted>2009-03-11T10:33:29Z</cp:lastPrinted>
  <dcterms:created xsi:type="dcterms:W3CDTF">2008-07-07T11:31:18Z</dcterms:created>
  <dcterms:modified xsi:type="dcterms:W3CDTF">2018-08-13T04:11:30Z</dcterms:modified>
  <cp:category/>
  <cp:version/>
  <cp:contentType/>
  <cp:contentStatus/>
</cp:coreProperties>
</file>